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workbookProtection workbookPassword="A9E8" lockStructure="1"/>
  <bookViews>
    <workbookView xWindow="480" yWindow="315" windowWidth="19875" windowHeight="7200" activeTab="1"/>
  </bookViews>
  <sheets>
    <sheet name="Guidance" sheetId="3" r:id="rId1"/>
    <sheet name="Latest UIFSM Update" sheetId="2" r:id="rId2"/>
    <sheet name="Latest data" sheetId="6" state="hidden" r:id="rId3"/>
    <sheet name="Provisional 14-15 data" sheetId="4" state="hidden" r:id="rId4"/>
    <sheet name="Provisional 16-17 data" sheetId="8" state="hidden" r:id="rId5"/>
    <sheet name="Provisional UIFSM 16-17 " sheetId="9" r:id="rId6"/>
  </sheets>
  <calcPr calcId="162913"/>
</workbook>
</file>

<file path=xl/calcChain.xml><?xml version="1.0" encoding="utf-8"?>
<calcChain xmlns="http://schemas.openxmlformats.org/spreadsheetml/2006/main">
  <c r="AP24" i="9" l="1"/>
  <c r="AN24" i="9"/>
  <c r="AL24" i="9"/>
  <c r="AJ24" i="9"/>
  <c r="AH24" i="9"/>
  <c r="AF24" i="9"/>
  <c r="AD24" i="9"/>
  <c r="AB24" i="9"/>
  <c r="Z24" i="9"/>
  <c r="X24" i="9"/>
  <c r="V24" i="9"/>
  <c r="T24" i="9"/>
  <c r="R24" i="9"/>
  <c r="P24" i="9"/>
  <c r="N24" i="9"/>
  <c r="K24" i="9"/>
  <c r="AW54" i="6" l="1"/>
  <c r="AX54" i="6"/>
  <c r="AY54" i="6"/>
  <c r="AZ54" i="6"/>
  <c r="BA54" i="6"/>
  <c r="BB54" i="6"/>
  <c r="BC54" i="6"/>
  <c r="BD54" i="6"/>
  <c r="BE54" i="6"/>
  <c r="I24" i="9" l="1"/>
  <c r="H24" i="9"/>
  <c r="G24" i="9"/>
  <c r="F24" i="9"/>
  <c r="E24" i="9"/>
  <c r="D24" i="9"/>
  <c r="C24" i="9"/>
  <c r="B24" i="9"/>
  <c r="A24" i="9"/>
  <c r="AK59" i="8"/>
  <c r="AE59" i="8"/>
  <c r="Y59" i="8"/>
  <c r="S59" i="8"/>
  <c r="AK58" i="8"/>
  <c r="AE58" i="8"/>
  <c r="Y58" i="8"/>
  <c r="S58" i="8"/>
  <c r="AM58" i="8" s="1"/>
  <c r="AK57" i="8"/>
  <c r="AE57" i="8"/>
  <c r="Y57" i="8"/>
  <c r="S57" i="8"/>
  <c r="AM57" i="8" s="1"/>
  <c r="AK56" i="8"/>
  <c r="AE56" i="8"/>
  <c r="Y56" i="8"/>
  <c r="S56" i="8"/>
  <c r="AM56" i="8" s="1"/>
  <c r="AK55" i="8"/>
  <c r="AE55" i="8"/>
  <c r="Y55" i="8"/>
  <c r="S55" i="8"/>
  <c r="AM55" i="8" s="1"/>
  <c r="AK54" i="8"/>
  <c r="AE54" i="8"/>
  <c r="Y54" i="8"/>
  <c r="S54" i="8"/>
  <c r="AK53" i="8"/>
  <c r="AE53" i="8"/>
  <c r="Y53" i="8"/>
  <c r="S53" i="8"/>
  <c r="AK52" i="8"/>
  <c r="AE52" i="8"/>
  <c r="Y52" i="8"/>
  <c r="S52" i="8"/>
  <c r="AK51" i="8"/>
  <c r="AE51" i="8"/>
  <c r="Y51" i="8"/>
  <c r="S51" i="8"/>
  <c r="AK50" i="8"/>
  <c r="AE50" i="8"/>
  <c r="Y50" i="8"/>
  <c r="S50" i="8"/>
  <c r="AK49" i="8"/>
  <c r="AE49" i="8"/>
  <c r="Y49" i="8"/>
  <c r="S49" i="8"/>
  <c r="AK48" i="8"/>
  <c r="AE48" i="8"/>
  <c r="Y48" i="8"/>
  <c r="S48" i="8"/>
  <c r="AK47" i="8"/>
  <c r="AE47" i="8"/>
  <c r="Y47" i="8"/>
  <c r="S47" i="8"/>
  <c r="AK46" i="8"/>
  <c r="AE46" i="8"/>
  <c r="Y46" i="8"/>
  <c r="S46" i="8"/>
  <c r="AM46" i="8" s="1"/>
  <c r="AK45" i="8"/>
  <c r="AE45" i="8"/>
  <c r="Y45" i="8"/>
  <c r="S45" i="8"/>
  <c r="AM45" i="8" s="1"/>
  <c r="AK44" i="8"/>
  <c r="AE44" i="8"/>
  <c r="Y44" i="8"/>
  <c r="S44" i="8"/>
  <c r="AM44" i="8" s="1"/>
  <c r="AK43" i="8"/>
  <c r="AE43" i="8"/>
  <c r="Y43" i="8"/>
  <c r="S43" i="8"/>
  <c r="AM43" i="8" s="1"/>
  <c r="AK42" i="8"/>
  <c r="AE42" i="8"/>
  <c r="Y42" i="8"/>
  <c r="S42" i="8"/>
  <c r="AK41" i="8"/>
  <c r="AE41" i="8"/>
  <c r="Y41" i="8"/>
  <c r="S41" i="8"/>
  <c r="AK40" i="8"/>
  <c r="AE40" i="8"/>
  <c r="Y40" i="8"/>
  <c r="S40" i="8"/>
  <c r="AK39" i="8"/>
  <c r="AE39" i="8"/>
  <c r="Y39" i="8"/>
  <c r="S39" i="8"/>
  <c r="AK38" i="8"/>
  <c r="AE38" i="8"/>
  <c r="Y38" i="8"/>
  <c r="S38" i="8"/>
  <c r="AM38" i="8" s="1"/>
  <c r="AK37" i="8"/>
  <c r="AE37" i="8"/>
  <c r="Y37" i="8"/>
  <c r="S37" i="8"/>
  <c r="AM37" i="8" s="1"/>
  <c r="AK36" i="8"/>
  <c r="AE36" i="8"/>
  <c r="Y36" i="8"/>
  <c r="S36" i="8"/>
  <c r="AM36" i="8" s="1"/>
  <c r="AK35" i="8"/>
  <c r="AE35" i="8"/>
  <c r="Y35" i="8"/>
  <c r="S35" i="8"/>
  <c r="AM35" i="8" s="1"/>
  <c r="AK34" i="8"/>
  <c r="AE34" i="8"/>
  <c r="Y34" i="8"/>
  <c r="S34" i="8"/>
  <c r="AM34" i="8" s="1"/>
  <c r="AK33" i="8"/>
  <c r="AE33" i="8"/>
  <c r="Y33" i="8"/>
  <c r="S33" i="8"/>
  <c r="AM33" i="8" s="1"/>
  <c r="AK32" i="8"/>
  <c r="AE32" i="8"/>
  <c r="Y32" i="8"/>
  <c r="S32" i="8"/>
  <c r="AM32" i="8" s="1"/>
  <c r="AK31" i="8"/>
  <c r="AE31" i="8"/>
  <c r="Y31" i="8"/>
  <c r="S31" i="8"/>
  <c r="AM31" i="8" s="1"/>
  <c r="AK30" i="8"/>
  <c r="AE30" i="8"/>
  <c r="Y30" i="8"/>
  <c r="S30" i="8"/>
  <c r="AM30" i="8" s="1"/>
  <c r="AK29" i="8"/>
  <c r="AE29" i="8"/>
  <c r="Y29" i="8"/>
  <c r="S29" i="8"/>
  <c r="AM29" i="8" s="1"/>
  <c r="AK28" i="8"/>
  <c r="AE28" i="8"/>
  <c r="Y28" i="8"/>
  <c r="S28" i="8"/>
  <c r="AM28" i="8" s="1"/>
  <c r="AK27" i="8"/>
  <c r="AE27" i="8"/>
  <c r="Y27" i="8"/>
  <c r="S27" i="8"/>
  <c r="AM27" i="8" s="1"/>
  <c r="AK26" i="8"/>
  <c r="AE26" i="8"/>
  <c r="Y26" i="8"/>
  <c r="S26" i="8"/>
  <c r="AK25" i="8"/>
  <c r="AE25" i="8"/>
  <c r="Y25" i="8"/>
  <c r="S25" i="8"/>
  <c r="AK24" i="8"/>
  <c r="AE24" i="8"/>
  <c r="Y24" i="8"/>
  <c r="S24" i="8"/>
  <c r="AK23" i="8"/>
  <c r="AE23" i="8"/>
  <c r="Y23" i="8"/>
  <c r="S23" i="8"/>
  <c r="AK22" i="8"/>
  <c r="AE22" i="8"/>
  <c r="Y22" i="8"/>
  <c r="S22" i="8"/>
  <c r="AM22" i="8" s="1"/>
  <c r="AK21" i="8"/>
  <c r="AE21" i="8"/>
  <c r="Y21" i="8"/>
  <c r="S21" i="8"/>
  <c r="AM21" i="8" s="1"/>
  <c r="AK20" i="8"/>
  <c r="AE20" i="8"/>
  <c r="Y20" i="8"/>
  <c r="S20" i="8"/>
  <c r="AM20" i="8" s="1"/>
  <c r="AO35" i="8" l="1"/>
  <c r="AQ35" i="8" s="1"/>
  <c r="AO36" i="8"/>
  <c r="AO38" i="8"/>
  <c r="AO39" i="8"/>
  <c r="AO40" i="8"/>
  <c r="AO42" i="8"/>
  <c r="AO43" i="8"/>
  <c r="AO44" i="8"/>
  <c r="AQ44" i="8" s="1"/>
  <c r="AO46" i="8"/>
  <c r="AQ46" i="8" s="1"/>
  <c r="AO48" i="8"/>
  <c r="AO50" i="8"/>
  <c r="AO51" i="8"/>
  <c r="AQ51" i="8" s="1"/>
  <c r="AO52" i="8"/>
  <c r="AQ52" i="8" s="1"/>
  <c r="AO54" i="8"/>
  <c r="AO56" i="8"/>
  <c r="AO58" i="8"/>
  <c r="AO59" i="8"/>
  <c r="AQ36" i="8"/>
  <c r="AO30" i="8"/>
  <c r="AQ30" i="8" s="1"/>
  <c r="AO33" i="8"/>
  <c r="AQ33" i="8" s="1"/>
  <c r="AO34" i="8"/>
  <c r="AQ34" i="8" s="1"/>
  <c r="AO47" i="8"/>
  <c r="AQ56" i="8"/>
  <c r="AO20" i="8"/>
  <c r="AQ20" i="8" s="1"/>
  <c r="AO22" i="8"/>
  <c r="AO23" i="8"/>
  <c r="AO24" i="8"/>
  <c r="AO26" i="8"/>
  <c r="AO27" i="8"/>
  <c r="AQ27" i="8" s="1"/>
  <c r="AO28" i="8"/>
  <c r="AM47" i="8"/>
  <c r="AM48" i="8"/>
  <c r="AQ48" i="8" s="1"/>
  <c r="AM49" i="8"/>
  <c r="AM50" i="8"/>
  <c r="AM52" i="8"/>
  <c r="AM53" i="8"/>
  <c r="AM54" i="8"/>
  <c r="AO55" i="8"/>
  <c r="AQ55" i="8" s="1"/>
  <c r="AO21" i="8"/>
  <c r="AQ21" i="8" s="1"/>
  <c r="AO37" i="8"/>
  <c r="AQ37" i="8" s="1"/>
  <c r="AO49" i="8"/>
  <c r="AQ49" i="8" s="1"/>
  <c r="AO57" i="8"/>
  <c r="AQ57" i="8" s="1"/>
  <c r="AO25" i="8"/>
  <c r="AO41" i="8"/>
  <c r="AM23" i="8"/>
  <c r="AM24" i="8"/>
  <c r="AM25" i="8"/>
  <c r="AM26" i="8"/>
  <c r="AO29" i="8"/>
  <c r="AQ29" i="8" s="1"/>
  <c r="AO31" i="8"/>
  <c r="AQ31" i="8" s="1"/>
  <c r="AO32" i="8"/>
  <c r="AQ32" i="8" s="1"/>
  <c r="AM39" i="8"/>
  <c r="AQ39" i="8" s="1"/>
  <c r="AM40" i="8"/>
  <c r="AM41" i="8"/>
  <c r="AM42" i="8"/>
  <c r="AQ42" i="8" s="1"/>
  <c r="AO45" i="8"/>
  <c r="AQ45" i="8" s="1"/>
  <c r="AM51" i="8"/>
  <c r="AO53" i="8"/>
  <c r="AM59" i="8"/>
  <c r="AQ26" i="8"/>
  <c r="AQ54" i="8"/>
  <c r="AQ22" i="8"/>
  <c r="AQ28" i="8"/>
  <c r="AQ38" i="8"/>
  <c r="AQ43" i="8"/>
  <c r="AQ50" i="8"/>
  <c r="AQ58" i="8"/>
  <c r="BA16" i="6"/>
  <c r="AY16" i="6" s="1"/>
  <c r="BE16" i="6" s="1"/>
  <c r="BC16" i="6"/>
  <c r="BA17" i="6"/>
  <c r="AY17" i="6" s="1"/>
  <c r="BE17" i="6" s="1"/>
  <c r="BC17" i="6"/>
  <c r="BA18" i="6"/>
  <c r="AY18" i="6" s="1"/>
  <c r="BE18" i="6" s="1"/>
  <c r="BC18" i="6"/>
  <c r="BA19" i="6"/>
  <c r="AY19" i="6" s="1"/>
  <c r="BE19" i="6" s="1"/>
  <c r="BC19" i="6"/>
  <c r="BA20" i="6"/>
  <c r="AY20" i="6" s="1"/>
  <c r="BE20" i="6" s="1"/>
  <c r="BC20" i="6"/>
  <c r="BA21" i="6"/>
  <c r="AY21" i="6" s="1"/>
  <c r="BE21" i="6" s="1"/>
  <c r="BC21" i="6"/>
  <c r="BA22" i="6"/>
  <c r="AY22" i="6" s="1"/>
  <c r="BE22" i="6" s="1"/>
  <c r="BC22" i="6"/>
  <c r="BA23" i="6"/>
  <c r="AY23" i="6" s="1"/>
  <c r="BE23" i="6" s="1"/>
  <c r="BC23" i="6"/>
  <c r="BA24" i="6"/>
  <c r="AY24" i="6" s="1"/>
  <c r="BE24" i="6" s="1"/>
  <c r="BC24" i="6"/>
  <c r="BA25" i="6"/>
  <c r="AY25" i="6" s="1"/>
  <c r="BE25" i="6" s="1"/>
  <c r="BC25" i="6"/>
  <c r="BA26" i="6"/>
  <c r="AY26" i="6" s="1"/>
  <c r="BE26" i="6" s="1"/>
  <c r="BC26" i="6"/>
  <c r="BA27" i="6"/>
  <c r="AY27" i="6" s="1"/>
  <c r="BE27" i="6" s="1"/>
  <c r="BC27" i="6"/>
  <c r="BA28" i="6"/>
  <c r="AY28" i="6" s="1"/>
  <c r="BE28" i="6" s="1"/>
  <c r="BC28" i="6"/>
  <c r="BA29" i="6"/>
  <c r="AY29" i="6" s="1"/>
  <c r="BE29" i="6" s="1"/>
  <c r="BC29" i="6"/>
  <c r="BA30" i="6"/>
  <c r="AY30" i="6" s="1"/>
  <c r="BE30" i="6" s="1"/>
  <c r="BC30" i="6"/>
  <c r="BA31" i="6"/>
  <c r="AY31" i="6" s="1"/>
  <c r="BE31" i="6" s="1"/>
  <c r="BC31" i="6"/>
  <c r="BA32" i="6"/>
  <c r="AY32" i="6" s="1"/>
  <c r="BE32" i="6" s="1"/>
  <c r="BC32" i="6"/>
  <c r="BA33" i="6"/>
  <c r="AY33" i="6" s="1"/>
  <c r="BE33" i="6" s="1"/>
  <c r="BC33" i="6"/>
  <c r="BA34" i="6"/>
  <c r="AY34" i="6" s="1"/>
  <c r="BE34" i="6" s="1"/>
  <c r="BC34" i="6"/>
  <c r="BA35" i="6"/>
  <c r="AY35" i="6" s="1"/>
  <c r="BE35" i="6" s="1"/>
  <c r="BC35" i="6"/>
  <c r="BA36" i="6"/>
  <c r="AY36" i="6" s="1"/>
  <c r="BE36" i="6" s="1"/>
  <c r="BC36" i="6"/>
  <c r="BA37" i="6"/>
  <c r="AY37" i="6" s="1"/>
  <c r="BE37" i="6" s="1"/>
  <c r="BC37" i="6"/>
  <c r="BA38" i="6"/>
  <c r="AY38" i="6" s="1"/>
  <c r="BE38" i="6" s="1"/>
  <c r="BC38" i="6"/>
  <c r="BA39" i="6"/>
  <c r="AY39" i="6" s="1"/>
  <c r="BE39" i="6" s="1"/>
  <c r="BC39" i="6"/>
  <c r="BA40" i="6"/>
  <c r="AY40" i="6" s="1"/>
  <c r="BE40" i="6" s="1"/>
  <c r="BC40" i="6"/>
  <c r="BA41" i="6"/>
  <c r="AY41" i="6" s="1"/>
  <c r="BE41" i="6" s="1"/>
  <c r="BC41" i="6"/>
  <c r="BA42" i="6"/>
  <c r="AY42" i="6" s="1"/>
  <c r="BE42" i="6" s="1"/>
  <c r="BC42" i="6"/>
  <c r="BA43" i="6"/>
  <c r="AY43" i="6" s="1"/>
  <c r="BE43" i="6" s="1"/>
  <c r="BC43" i="6"/>
  <c r="BA44" i="6"/>
  <c r="AY44" i="6" s="1"/>
  <c r="BE44" i="6" s="1"/>
  <c r="BC44" i="6"/>
  <c r="BA45" i="6"/>
  <c r="AY45" i="6" s="1"/>
  <c r="BE45" i="6" s="1"/>
  <c r="BC45" i="6"/>
  <c r="BA46" i="6"/>
  <c r="AY46" i="6" s="1"/>
  <c r="BE46" i="6" s="1"/>
  <c r="BC46" i="6"/>
  <c r="BA47" i="6"/>
  <c r="AY47" i="6" s="1"/>
  <c r="BE47" i="6" s="1"/>
  <c r="BC47" i="6"/>
  <c r="BA48" i="6"/>
  <c r="AY48" i="6" s="1"/>
  <c r="BE48" i="6" s="1"/>
  <c r="BC48" i="6"/>
  <c r="BA49" i="6"/>
  <c r="AY49" i="6" s="1"/>
  <c r="BE49" i="6" s="1"/>
  <c r="BC49" i="6"/>
  <c r="BA50" i="6"/>
  <c r="AY50" i="6" s="1"/>
  <c r="BE50" i="6" s="1"/>
  <c r="BC50" i="6"/>
  <c r="BA51" i="6"/>
  <c r="AY51" i="6" s="1"/>
  <c r="BE51" i="6" s="1"/>
  <c r="BC51" i="6"/>
  <c r="BA52" i="6"/>
  <c r="AY52" i="6" s="1"/>
  <c r="BE52" i="6" s="1"/>
  <c r="BC52" i="6"/>
  <c r="AY15" i="6"/>
  <c r="BA15" i="6"/>
  <c r="BC15" i="6"/>
  <c r="B22" i="2"/>
  <c r="C22" i="2"/>
  <c r="F22" i="2"/>
  <c r="AR22" i="2" l="1"/>
  <c r="AT22" i="2"/>
  <c r="BC22" i="2"/>
  <c r="V22" i="2"/>
  <c r="BA22" i="2"/>
  <c r="AQ59" i="8"/>
  <c r="AQ40" i="8"/>
  <c r="AQ25" i="8"/>
  <c r="AQ53" i="8"/>
  <c r="AQ47" i="8"/>
  <c r="AQ24" i="8"/>
  <c r="AQ23" i="8"/>
  <c r="AQ41" i="8"/>
  <c r="AW22" i="2"/>
  <c r="N22" i="2"/>
  <c r="AY22" i="2"/>
  <c r="AD22" i="2"/>
  <c r="G22" i="2"/>
  <c r="AL22" i="2"/>
  <c r="H22" i="2"/>
  <c r="P22" i="2"/>
  <c r="X22" i="2"/>
  <c r="AF22" i="2"/>
  <c r="AN22" i="2"/>
  <c r="E22" i="2"/>
  <c r="J22" i="2"/>
  <c r="R22" i="2"/>
  <c r="Z22" i="2"/>
  <c r="AH22" i="2"/>
  <c r="AP22" i="2"/>
  <c r="L22" i="2"/>
  <c r="T22" i="2"/>
  <c r="AB22" i="2"/>
  <c r="AJ22" i="2"/>
  <c r="S54" i="6"/>
  <c r="T54" i="6"/>
  <c r="U54" i="6"/>
  <c r="V54" i="6"/>
  <c r="W54" i="6"/>
  <c r="X54" i="6"/>
  <c r="Y54" i="6"/>
  <c r="Z54" i="6"/>
  <c r="AA54" i="6"/>
  <c r="AB54" i="6"/>
  <c r="AC54" i="6"/>
  <c r="AD54" i="6"/>
  <c r="AE54" i="6"/>
  <c r="AF54" i="6"/>
  <c r="AG54" i="6"/>
  <c r="AH54" i="6"/>
  <c r="AI54" i="6"/>
  <c r="AJ54" i="6"/>
  <c r="AK54" i="6"/>
  <c r="AL54" i="6"/>
  <c r="AM54" i="6"/>
  <c r="AN54" i="6"/>
  <c r="AO54" i="6"/>
  <c r="AP54" i="6"/>
  <c r="AQ54" i="6"/>
  <c r="AR54" i="6"/>
  <c r="AS54" i="6"/>
  <c r="AT54" i="6"/>
  <c r="AU54" i="6"/>
  <c r="AV54" i="6"/>
  <c r="J54" i="6"/>
  <c r="K54" i="6"/>
  <c r="L54" i="6"/>
  <c r="M54" i="6"/>
  <c r="N54" i="6"/>
  <c r="O54" i="6"/>
  <c r="P54" i="6"/>
  <c r="Q54" i="6"/>
  <c r="R54" i="6"/>
  <c r="BE15" i="6" l="1"/>
</calcChain>
</file>

<file path=xl/sharedStrings.xml><?xml version="1.0" encoding="utf-8"?>
<sst xmlns="http://schemas.openxmlformats.org/spreadsheetml/2006/main" count="764" uniqueCount="239">
  <si>
    <t xml:space="preserve"> </t>
  </si>
  <si>
    <t xml:space="preserve">STATE-FUNDED PRIMARY AND SECONDARY, MAINTAINED AND NON-MAINTAINED SPECIAL SCHOOLS, SPECIAL ACADEMIES, PUPIL REFERRAL UNITS (PRU) AND ALTERNATIVE PROVISION (AP) ACADEMIES (1): </t>
  </si>
  <si>
    <t>By School</t>
  </si>
  <si>
    <t>Total</t>
  </si>
  <si>
    <t>PLEASE NOTE:</t>
  </si>
  <si>
    <t>3. Eligible Year 1 and Year 2 pupils counts include National Curriculum not followed pupils, aged 4, 5 and 6.</t>
  </si>
  <si>
    <t>School Details</t>
  </si>
  <si>
    <t>Allocation and Payments</t>
  </si>
  <si>
    <t>Pupil Data Used for Calculating the Allocations</t>
  </si>
  <si>
    <t>Nottingham</t>
  </si>
  <si>
    <t>Bentinck Primary and Nursery School</t>
  </si>
  <si>
    <t>Community School</t>
  </si>
  <si>
    <t>Cantrell Primary and Nursery School</t>
  </si>
  <si>
    <t>Carrington Primary and Nursery School</t>
  </si>
  <si>
    <t>Dunkirk Primary and Nursery School</t>
  </si>
  <si>
    <t>Melbury Primary School</t>
  </si>
  <si>
    <t>Middleton Primary and Nursery School</t>
  </si>
  <si>
    <t>Burford Primary and Nursery School</t>
  </si>
  <si>
    <t>Robert Shaw Primary and Nursery School</t>
  </si>
  <si>
    <t>Heathfield Primary and Nursery School</t>
  </si>
  <si>
    <t>William Booth Primary and Nursery School</t>
  </si>
  <si>
    <t>Walter Halls Primary and Early Years School</t>
  </si>
  <si>
    <t>Southwold Primary School and Early Years' Centre</t>
  </si>
  <si>
    <t>Fernwood Infant School</t>
  </si>
  <si>
    <t>Rise Park Primary and Nursery School</t>
  </si>
  <si>
    <t>Crabtree Farm Primary School</t>
  </si>
  <si>
    <t>Scotholme Primary and Nursery School</t>
  </si>
  <si>
    <t>Welbeck Primary School</t>
  </si>
  <si>
    <t>Mellers Primary and Nursery School</t>
  </si>
  <si>
    <t>Haydn Primary School</t>
  </si>
  <si>
    <t>Hempshill Hall Primary School</t>
  </si>
  <si>
    <t>Stanstead Nursery and Primary School</t>
  </si>
  <si>
    <t>Glade Hill Primary School</t>
  </si>
  <si>
    <t>Claremont Primary and Nursery School</t>
  </si>
  <si>
    <t>Snape Wood Primary and Nursery School</t>
  </si>
  <si>
    <t>Springfield Primary School</t>
  </si>
  <si>
    <t>Forest Fields Primary and Nursery School</t>
  </si>
  <si>
    <t>Whitegate Primary and Nursery School</t>
  </si>
  <si>
    <t>Bulwell St Mary's Primary and Nursery School</t>
  </si>
  <si>
    <t>Voluntary Aided School</t>
  </si>
  <si>
    <t>South Wilford Endowed CofE Primary School</t>
  </si>
  <si>
    <t>Rosehill School</t>
  </si>
  <si>
    <t>Community Special School</t>
  </si>
  <si>
    <t>Southglade Primary School</t>
  </si>
  <si>
    <t>Westglade Primary School</t>
  </si>
  <si>
    <t>Robin Hood Primary School</t>
  </si>
  <si>
    <t>Henry Whipple Primary School</t>
  </si>
  <si>
    <t>Dovecote Primary and Nursery School</t>
  </si>
  <si>
    <t>Greenfields Community School</t>
  </si>
  <si>
    <t>Oak Field School and Specialist Sports College</t>
  </si>
  <si>
    <t>Rufford Primary and Nursery School</t>
  </si>
  <si>
    <t>Berridge Primary School</t>
  </si>
  <si>
    <t>Seely Primary School</t>
  </si>
  <si>
    <t>Funding Adjustments on Schools Budget Letter</t>
  </si>
  <si>
    <t>H</t>
  </si>
  <si>
    <t>J</t>
  </si>
  <si>
    <t>Column</t>
  </si>
  <si>
    <t>minus</t>
  </si>
  <si>
    <t>equals the number of eligible pupils</t>
  </si>
  <si>
    <t>L</t>
  </si>
  <si>
    <t>less</t>
  </si>
  <si>
    <t>Virements</t>
  </si>
  <si>
    <t xml:space="preserve">UNIVERAL INFANT FREE SCHOOL MEALS (UIFSM) - ACADEMIC YEAR 2014/2015 PROVISIONAL REVENUE AND SMALL SCHOOLS TRANSITIONAL FUNDING ALLOCATIONS </t>
  </si>
  <si>
    <t>1. Includes maintained schools, academies, free schools, non-maintained special schools, PRUs and AP academies as recorded on the January 2014 School Census. Also includes newly opened free schools up to April 2014 and excludes schools closed or closing b</t>
  </si>
  <si>
    <t>2. Headcount of total pupils as recorded on the  January 2014 census (adjusted for mergers up to 1st April 2014)</t>
  </si>
  <si>
    <t xml:space="preserve">3. Headcount of UIFSM eligible pupils in Reception to Year 2 (where National Curriculum year groups do not apply, includes pupils aged 4 to 6 as at 31st August 2013) as recorded on the January 2014 School Census. </t>
  </si>
  <si>
    <t xml:space="preserve">Number of  pupils </t>
  </si>
  <si>
    <t>Provisional allocation for 2014/15</t>
  </si>
  <si>
    <t>June/July payment</t>
  </si>
  <si>
    <t>URN</t>
  </si>
  <si>
    <t>LAEstab</t>
  </si>
  <si>
    <t>LA</t>
  </si>
  <si>
    <t>Local Authority</t>
  </si>
  <si>
    <t>Estab</t>
  </si>
  <si>
    <t>School Name</t>
  </si>
  <si>
    <t>School Type</t>
  </si>
  <si>
    <t>Number of pupils on roll (2)</t>
  </si>
  <si>
    <t>Number of non-FSM pupils in year groups Reception, Year 1 , Year 2  PLUS those pupils aged 4,5 and 6 where National Curriculum year groups do not apply (2)(3)</t>
  </si>
  <si>
    <t xml:space="preserve">2014/15 Provisional revenue allocation </t>
  </si>
  <si>
    <t xml:space="preserve">Small schools transitional funding  </t>
  </si>
  <si>
    <t>7/12ths of provisional revenue allocation PLUS all of small schools transitional funding</t>
  </si>
  <si>
    <t>Guidance Formula</t>
  </si>
  <si>
    <t>Variance to provisional amounts</t>
  </si>
  <si>
    <t>7/12th's</t>
  </si>
  <si>
    <t>Brocklewood Primary and Nursery School</t>
  </si>
  <si>
    <t>Jubilee Primary School</t>
  </si>
  <si>
    <t>Radford Primary School</t>
  </si>
  <si>
    <t>Robert Shaw Primary School</t>
  </si>
  <si>
    <t>Rosslyn Park Primary and Nursery School</t>
  </si>
  <si>
    <t>Riverside Primary School and Early Years Unit</t>
  </si>
  <si>
    <t>Voluntary Controlled School</t>
  </si>
  <si>
    <t>Maintained schools</t>
  </si>
  <si>
    <t>Latest UIFSM Update Tab</t>
  </si>
  <si>
    <t xml:space="preserve">UNIVERSAL INFANT FREE SCHOOL MEALS (UIFSM) - FINAL REVENUE PAYMENT FOR ACADEMIC YEAR 2016/2017, PLUS PROVISIONAL REVENUE ALLOCATIONS FOR ACADEMIC YEAR 2017/2018 </t>
  </si>
  <si>
    <t xml:space="preserve">1. Includes maintained schools, academies, free schools, non-maintained special schools, PRUs and AP academies as recorded on the January 2017 School Census. </t>
  </si>
  <si>
    <t>2. School type correct as of April 2017</t>
  </si>
  <si>
    <t>4. Total June / July 2017 payments (Column Q) are rounded up to the next whole pound.</t>
  </si>
  <si>
    <t>5. The total eligible meals taken by Reception pupils used in the 2016-17 final allocation calculation is the higher of, the average number of eligible meals taken by Reception pupils across the October 2016 and January 2017 censuses, or the number of eligible meals taken by Reception pupils in the January 2017 census.</t>
  </si>
  <si>
    <t>6. The total eligible meals taken by Year 1 and Year 2 pupils used in the 2016-17 final allocation calculation is the average number of eligible meals taken by Year 1 and Year 2 pupils across the October 2016 and January 2017 censuses.</t>
  </si>
  <si>
    <t>Provisional payment made in June / July 2016</t>
  </si>
  <si>
    <t>Final allocation for 2016/17</t>
  </si>
  <si>
    <t>Final  payment for 2016/17 (Col J - Col H)</t>
  </si>
  <si>
    <t>Provisional revenue payment for 2017/18 (7/12ths of Col J)</t>
  </si>
  <si>
    <t>Total June / July 2017 Payment (Col L + Col N)</t>
  </si>
  <si>
    <t>Meals taken by Reception pupils from October 2016 census</t>
  </si>
  <si>
    <t>Meals taken by Reception FSM pupils from October 2016 census</t>
  </si>
  <si>
    <t>Total Eligible Meals taken by Reception pupils from October 2016 census (Col R - Col T)</t>
  </si>
  <si>
    <t>Meals taken by Reception pupils from January 2017 census</t>
  </si>
  <si>
    <t>Meals taken by Reception FSM pupils from January 2017 census</t>
  </si>
  <si>
    <t>Total Eligible Meals taken by Reception pupils from January 2017 census (Col Y - Col AA)</t>
  </si>
  <si>
    <t>Meals taken by Year 1 and Year 2 pupils from October 2016 census</t>
  </si>
  <si>
    <t>Meals taken by Year 1 and Year 2 FSM pupils from October 2016 census</t>
  </si>
  <si>
    <t>Total Eligible Meals taken by Year 1 and Year 2 pupils from October 2016 census (Col AE - Col AG)</t>
  </si>
  <si>
    <t>Meals taken by Year 1 and Year 2 pupils from January 2017 census</t>
  </si>
  <si>
    <t>Meals taken by Year 1 and Year 2 FSM pupils from January 2017 census</t>
  </si>
  <si>
    <t>Total Eligible Meals taken by Year 1 and Year 2 pupils from January 2017 census (Col AK - Col AM)</t>
  </si>
  <si>
    <t>Total Eligible Meals taken by Reception pupils used in 2016-17 final allocation calculation5</t>
  </si>
  <si>
    <t>Total Eligible Meals taken by Year 1 and Year 2 pupils used in 2016-17 final allocation calculation6</t>
  </si>
  <si>
    <t>Total Funding Adjustment to be made in 2017/18</t>
  </si>
  <si>
    <t>Adjustment to Sept 16-Mar 17 Provisional Allocation</t>
  </si>
  <si>
    <t>Provisional Allocation Sept 17 to March 18</t>
  </si>
  <si>
    <t>Final allocation April 17 to Aug 17</t>
  </si>
  <si>
    <t>Final  payment for 2016/17 (Col K - Col I)</t>
  </si>
  <si>
    <t>Provisional revenue payment for 2017/18 (7/12ths of Col K)</t>
  </si>
  <si>
    <t>Total June / July 2017 payment (Col M + Col O)</t>
  </si>
  <si>
    <t>Total Eligible Meals taken by Reception pupils from October 2016 census (Col S - Col U)</t>
  </si>
  <si>
    <t>Total Eligible Meals taken by Infant pupils used in 2016-17 final allocation calculation (Col AQ + Col AS)</t>
  </si>
  <si>
    <t>Maintained</t>
  </si>
  <si>
    <t>Mellers Primary School</t>
  </si>
  <si>
    <t>Glade Hill Primary &amp; Nursery School</t>
  </si>
  <si>
    <t>Hospital and Home Education PRU</t>
  </si>
  <si>
    <t>Pupil Referral Unit</t>
  </si>
  <si>
    <t>Berridge Primary and Nursery School</t>
  </si>
  <si>
    <t>Fernwood Primary School</t>
  </si>
  <si>
    <t>2045jcKb</t>
  </si>
  <si>
    <t>Final allocation for 2015/16 (not including Small Schools Transitional Funding)</t>
  </si>
  <si>
    <t>Provisional revenue payment for 2016/17 (7/12ths of Col K)</t>
  </si>
  <si>
    <t>Meals taken by Reception pupils from October 2015 census</t>
  </si>
  <si>
    <t>Meals taken by Reception FSM pupils from October 2015 census</t>
  </si>
  <si>
    <t>Total Eligible Meals taken by Reception pupils from October 2015 census (Col S - Col U)</t>
  </si>
  <si>
    <t>Meals taken by Reception pupils from January 2016 census</t>
  </si>
  <si>
    <t>Meals taken by Reception FSM pupils from January 2016 census</t>
  </si>
  <si>
    <t>Total Eligible Meals taken by Reception pupils from January 2016 census (Col Y - Col AA)</t>
  </si>
  <si>
    <t>Meals taken by Year 1 and Year 2 pupils from October 2015 census</t>
  </si>
  <si>
    <t>Meals taken by Year 1 and Year 2 FSM pupils from October 2015 census</t>
  </si>
  <si>
    <t>Total Eligible Meals taken by Year 1 and Year 2 pupils from October 2015 census (Col AE - Col AG)</t>
  </si>
  <si>
    <t>Meals taken by Year 1 and Year 2 pupils from January 2016 census</t>
  </si>
  <si>
    <t>Meals taken by Year 1 and Year 2 FSM pupils from January 2016 census</t>
  </si>
  <si>
    <t>Total Eligible Meals taken by Year 1 and Year 2 pupils from January 2016 census (Col AK - Col AM)</t>
  </si>
  <si>
    <t>Total Eligible Meals taken by Infant pupils used in 2015-16 final allocation calculation (Col AQ + Col AS)</t>
  </si>
  <si>
    <t>Academy / Mainitained School</t>
  </si>
  <si>
    <t>2056bAuD</t>
  </si>
  <si>
    <t>2057HOsi</t>
  </si>
  <si>
    <t>2061xJcy</t>
  </si>
  <si>
    <t>2079FvIw</t>
  </si>
  <si>
    <t>2080tRdj</t>
  </si>
  <si>
    <t>2090IiRI</t>
  </si>
  <si>
    <t>2095dtuN</t>
  </si>
  <si>
    <t>2097Osws</t>
  </si>
  <si>
    <t>2117PnIX</t>
  </si>
  <si>
    <t>2128wfAl</t>
  </si>
  <si>
    <t>2151vOUw</t>
  </si>
  <si>
    <t>2153nWDQ</t>
  </si>
  <si>
    <t>2157suKk</t>
  </si>
  <si>
    <t>2158hMrS</t>
  </si>
  <si>
    <t>2163KqTk</t>
  </si>
  <si>
    <t>2170MqVW</t>
  </si>
  <si>
    <t>2190wUmX</t>
  </si>
  <si>
    <t>2360ioBv</t>
  </si>
  <si>
    <t>2894TISR</t>
  </si>
  <si>
    <t>2897xXHv</t>
  </si>
  <si>
    <t>2917ZuVe</t>
  </si>
  <si>
    <t>2929hDZn</t>
  </si>
  <si>
    <t>2935BcLf</t>
  </si>
  <si>
    <t>3312Qybe</t>
  </si>
  <si>
    <t>7035tAdH</t>
  </si>
  <si>
    <t>3326cFKo</t>
  </si>
  <si>
    <t>3327puJp</t>
  </si>
  <si>
    <t>3329RIdN</t>
  </si>
  <si>
    <t>3328RPTm</t>
  </si>
  <si>
    <t>1109Qdpf</t>
  </si>
  <si>
    <t>3323oqtU</t>
  </si>
  <si>
    <t>3324xTCS</t>
  </si>
  <si>
    <t>7042NwsN</t>
  </si>
  <si>
    <t>3332hTln</t>
  </si>
  <si>
    <t>2006MAGL</t>
  </si>
  <si>
    <t>2007acGn</t>
  </si>
  <si>
    <t>2016jnOu</t>
  </si>
  <si>
    <t>2082fWlx</t>
  </si>
  <si>
    <t>2155CTPh</t>
  </si>
  <si>
    <t>3000JAIt</t>
  </si>
  <si>
    <t>Provisional allocation for 2016/17</t>
  </si>
  <si>
    <r>
      <t>Total Eligible Meals taken by Reception pupils used in 2015-16 final allocation calculation</t>
    </r>
    <r>
      <rPr>
        <vertAlign val="superscript"/>
        <sz val="8"/>
        <color theme="1"/>
        <rFont val="Arial"/>
        <family val="2"/>
      </rPr>
      <t>5</t>
    </r>
  </si>
  <si>
    <r>
      <t>Total Eligible Meals taken by Year 1 and Year 2 pupils used in 2015-16 final allocation calculation</t>
    </r>
    <r>
      <rPr>
        <vertAlign val="superscript"/>
        <sz val="8"/>
        <color theme="1"/>
        <rFont val="Arial"/>
        <family val="2"/>
      </rPr>
      <t>6</t>
    </r>
  </si>
  <si>
    <t>Enter your passcode in the red cell below:</t>
  </si>
  <si>
    <t>Final allocation for AY 2016/17</t>
  </si>
  <si>
    <t>Provisional revenue payment for 2017/18 (7/12ths of Col J Sept 17 to Mar 18)</t>
  </si>
  <si>
    <t xml:space="preserve">UNIVERSAL INFANT FREE SCHOOL MEALS (UIFSM) - FINAL REVENUE PAYMENTS FOR ACADEMIC YEAR 2015/2016, PLUS PROVISIONAL REVENUE ALLOCATIONS FOR ACADEMIC YEAR 2016/2017 </t>
  </si>
  <si>
    <t xml:space="preserve">1. Includes maintained schools, academies, free schools, non-maintained special schools, PRUs and AP academies as recorded on the January 2016 School Census. </t>
  </si>
  <si>
    <t>2. School type correct as of April 2016</t>
  </si>
  <si>
    <t>4. Total June / July 2016 payments (Column Q) are rounded up to the next whole pound.</t>
  </si>
  <si>
    <t>5. The total eligible meals taken by Reception pupils used in 2015-16 final allocation calculation is the higher of, the average number of eligible meals taken by Reception pupils across the October 2015 and January 2016 censuses, or the number of eligible meals taken by Reception pupils in the January 2016 census.</t>
  </si>
  <si>
    <t>6. The total eligible meals taken by Year 1 and Year 2 pupils used in 2015-16 final allocation calculation is the average number of eligible meals taken by Year 1 and Year 2 pupils across the October 2015 and January 2016 censuses.</t>
  </si>
  <si>
    <t>Provisional 2016/17 allocation</t>
  </si>
  <si>
    <t>multiplied by £2.30 x 190 days</t>
  </si>
  <si>
    <t>Divide the total by 2</t>
  </si>
  <si>
    <t>Total Eligible Meals taken by infant pupils used in 2016-17 final allocation calculation (Col AP &amp; Col AR)</t>
  </si>
  <si>
    <t>Total number of eligible pupils shown in column AT multiplied by £437 per pupil</t>
  </si>
  <si>
    <t>Final payment for 2016/17 column J less provisional allocation in column H</t>
  </si>
  <si>
    <t>N</t>
  </si>
  <si>
    <t>P</t>
  </si>
  <si>
    <t>Total Payment July 2017</t>
  </si>
  <si>
    <t xml:space="preserve">Final payment for the academic year 2016/17 (column L) plus provisional allocation for September 2017 to March 2018 (column N) </t>
  </si>
  <si>
    <t>Provisional 2016-17 UIFSM Tab</t>
  </si>
  <si>
    <t>AW</t>
  </si>
  <si>
    <t>Provisional revenue payment for 2016/17 columns H</t>
  </si>
  <si>
    <t>AY</t>
  </si>
  <si>
    <t>BA</t>
  </si>
  <si>
    <t>Provisional revenue payment for 2016/17 (7/12ths of Col I)</t>
  </si>
  <si>
    <t>K</t>
  </si>
  <si>
    <t>The actual numbers used to in the calculation can be found on the</t>
  </si>
  <si>
    <t>Provisional UIFSM 2016-17 tab</t>
  </si>
  <si>
    <t>Total Virements</t>
  </si>
  <si>
    <t>Refer to the notes below on the Provisional 2016-17 UIFSM tab</t>
  </si>
  <si>
    <t>Final 2016/17 academic year allocation</t>
  </si>
  <si>
    <t>Final payment for academic year 2016/17</t>
  </si>
  <si>
    <t>7/12ths of final 2016/17 academic year allocation in column J</t>
  </si>
  <si>
    <t>7/12ths of final allocation for academic year 2016/17 allocation column J</t>
  </si>
  <si>
    <t>5/12ths of final allocation for academic year 2016/17 allocation column J</t>
  </si>
  <si>
    <r>
      <t>Total virements in</t>
    </r>
    <r>
      <rPr>
        <b/>
        <sz val="11"/>
        <color theme="1"/>
        <rFont val="Calibri"/>
        <family val="2"/>
        <scheme val="minor"/>
      </rPr>
      <t xml:space="preserve"> </t>
    </r>
    <r>
      <rPr>
        <b/>
        <u/>
        <sz val="11"/>
        <color theme="1"/>
        <rFont val="Calibri"/>
        <family val="2"/>
        <scheme val="minor"/>
      </rPr>
      <t>financial year 2017/18</t>
    </r>
    <r>
      <rPr>
        <sz val="11"/>
        <color theme="1"/>
        <rFont val="Calibri"/>
        <family val="2"/>
        <scheme val="minor"/>
      </rPr>
      <t xml:space="preserve"> equal the total payment made in July 2017</t>
    </r>
  </si>
  <si>
    <t>(Sept 2016 to Mar 2017)</t>
  </si>
  <si>
    <t>(Sept 2016 to Aug 2017)</t>
  </si>
  <si>
    <t>Adjustment to provisional allocation Sept to Mar plus allocation for Apr 2017 to Aug 2017</t>
  </si>
  <si>
    <t>Provisional 2017/18 allocation Sept 2017 to Mar 2018</t>
  </si>
  <si>
    <t>Adjustment to Sept 2016 to Mar 2017 Provisional Allocation</t>
  </si>
  <si>
    <t>Final allocation Apr 2017 to Aug 2017</t>
  </si>
  <si>
    <t>Provisional Allocation Sept 2017 to Mar 2018</t>
  </si>
  <si>
    <t>The number of pupils on roll in reception, year 1 and year 2 on the Oct 2015 and Jan 2016 census days;</t>
  </si>
  <si>
    <t>the number of pupils on roll in reception, year 1 and year 2 recorded as known to be eligible for free school meals (FSM) on the Oct 2015 and Jan 2016 census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</si>
</sst>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
    <numFmt numFmtId="165" formatCode="[$£]#,##0.00"/>
    <numFmt numFmtId="166" formatCode="[$£]#,##0"/>
    <numFmt numFmtId="167" formatCode="&quot;£&quot;#,##0"/>
    <numFmt numFmtId="168" formatCode="_-* #,##0_-;\-* #,##0_-;_-* &quot;-&quot;??_-;_-@_-"/>
  </numFmts>
  <fonts count="29" x14ac:knownFonts="1">
    <font>
      <sz val="11"/>
      <color theme="1"/>
      <name val="Calibri"/>
      <family val="2"/>
      <scheme val="minor"/>
    </font>
    <font>
      <b/>
      <sz val="11"/>
      <color theme="1"/>
      <name val="Calibri"/>
      <family val="2"/>
      <scheme val="minor"/>
    </font>
    <font>
      <sz val="12"/>
      <color theme="1"/>
      <name val="Arial"/>
      <family val="2"/>
    </font>
    <font>
      <sz val="9"/>
      <color theme="1"/>
      <name val="Arial"/>
      <family val="2"/>
    </font>
    <font>
      <sz val="11"/>
      <color theme="1"/>
      <name val="Arial"/>
      <family val="2"/>
    </font>
    <font>
      <sz val="8"/>
      <name val="Arial"/>
      <family val="2"/>
    </font>
    <font>
      <sz val="8"/>
      <color theme="1"/>
      <name val="Arial"/>
      <family val="2"/>
    </font>
    <font>
      <b/>
      <sz val="11"/>
      <color theme="1"/>
      <name val="Arial"/>
      <family val="2"/>
    </font>
    <font>
      <b/>
      <sz val="12"/>
      <name val="Arial"/>
      <family val="2"/>
    </font>
    <font>
      <sz val="10"/>
      <color theme="1"/>
      <name val="Arial"/>
      <family val="2"/>
    </font>
    <font>
      <b/>
      <u/>
      <sz val="11"/>
      <color theme="1"/>
      <name val="Calibri"/>
      <family val="2"/>
      <scheme val="minor"/>
    </font>
    <font>
      <b/>
      <u/>
      <sz val="14"/>
      <color theme="1"/>
      <name val="Calibri"/>
      <family val="2"/>
      <scheme val="minor"/>
    </font>
    <font>
      <sz val="11"/>
      <color indexed="8"/>
      <name val="Calibri"/>
      <family val="2"/>
    </font>
    <font>
      <sz val="10"/>
      <name val="Arial"/>
      <family val="2"/>
    </font>
    <font>
      <b/>
      <sz val="10"/>
      <name val="Arial"/>
      <family val="2"/>
    </font>
    <font>
      <b/>
      <sz val="11"/>
      <color indexed="8"/>
      <name val="Calibri"/>
      <family val="2"/>
    </font>
    <font>
      <b/>
      <sz val="10"/>
      <color rgb="FF000000"/>
      <name val="Arial"/>
      <family val="2"/>
    </font>
    <font>
      <b/>
      <sz val="12"/>
      <color rgb="FF000000"/>
      <name val="Arial"/>
      <family val="2"/>
    </font>
    <font>
      <sz val="9"/>
      <color rgb="FF000000"/>
      <name val="Arial"/>
      <family val="2"/>
    </font>
    <font>
      <sz val="8"/>
      <color rgb="FF000000"/>
      <name val="Arial"/>
      <family val="2"/>
    </font>
    <font>
      <sz val="12"/>
      <color rgb="FF000000"/>
      <name val="Arial"/>
      <family val="2"/>
    </font>
    <font>
      <sz val="11"/>
      <color rgb="FF000000"/>
      <name val="Arial"/>
      <family val="2"/>
    </font>
    <font>
      <b/>
      <sz val="11"/>
      <color rgb="FF000000"/>
      <name val="Arial"/>
      <family val="2"/>
    </font>
    <font>
      <sz val="8"/>
      <color indexed="72"/>
      <name val="MS Sans Serif"/>
      <family val="2"/>
    </font>
    <font>
      <vertAlign val="superscript"/>
      <sz val="8"/>
      <color theme="1"/>
      <name val="Arial"/>
      <family val="2"/>
    </font>
    <font>
      <sz val="11"/>
      <color theme="1"/>
      <name val="Calibri"/>
      <family val="2"/>
      <scheme val="minor"/>
    </font>
    <font>
      <b/>
      <sz val="11"/>
      <name val="Calibri"/>
      <family val="2"/>
    </font>
    <font>
      <sz val="11"/>
      <name val="Calibri"/>
      <family val="2"/>
    </font>
    <font>
      <sz val="11"/>
      <name val="Calibri"/>
      <family val="2"/>
      <scheme val="minor"/>
    </font>
  </fonts>
  <fills count="11">
    <fill>
      <patternFill patternType="none"/>
    </fill>
    <fill>
      <patternFill patternType="gray125"/>
    </fill>
    <fill>
      <patternFill patternType="solid">
        <fgColor indexed="9"/>
        <bgColor indexed="64"/>
      </patternFill>
    </fill>
    <fill>
      <patternFill patternType="solid">
        <fgColor rgb="FF00B0F0"/>
        <bgColor indexed="64"/>
      </patternFill>
    </fill>
    <fill>
      <patternFill patternType="solid">
        <fgColor rgb="FFFFFF00"/>
        <bgColor indexed="64"/>
      </patternFill>
    </fill>
    <fill>
      <patternFill patternType="solid">
        <fgColor rgb="FFFF33CC"/>
        <bgColor indexed="64"/>
      </patternFill>
    </fill>
    <fill>
      <patternFill patternType="solid">
        <fgColor rgb="FFFF0000"/>
        <bgColor indexed="64"/>
      </patternFill>
    </fill>
    <fill>
      <patternFill patternType="solid">
        <fgColor theme="0" tint="-0.24994659260841701"/>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style="thin">
        <color indexed="64"/>
      </right>
      <top/>
      <bottom style="thin">
        <color indexed="64"/>
      </bottom>
      <diagonal/>
    </border>
  </borders>
  <cellStyleXfs count="6">
    <xf numFmtId="0" fontId="0" fillId="0" borderId="0"/>
    <xf numFmtId="0" fontId="2" fillId="0" borderId="0"/>
    <xf numFmtId="0" fontId="12" fillId="0" borderId="0"/>
    <xf numFmtId="0" fontId="13" fillId="0" borderId="0"/>
    <xf numFmtId="0" fontId="23" fillId="0" borderId="0" applyAlignment="0">
      <alignment vertical="top" wrapText="1"/>
      <protection locked="0"/>
    </xf>
    <xf numFmtId="43" fontId="25" fillId="0" borderId="0" applyFont="0" applyFill="0" applyBorder="0" applyAlignment="0" applyProtection="0"/>
  </cellStyleXfs>
  <cellXfs count="291">
    <xf numFmtId="0" fontId="0" fillId="0" borderId="0" xfId="0"/>
    <xf numFmtId="164" fontId="5" fillId="2" borderId="2" xfId="0" applyNumberFormat="1" applyFont="1" applyFill="1" applyBorder="1" applyAlignment="1">
      <alignment horizontal="center" vertical="top" wrapText="1"/>
    </xf>
    <xf numFmtId="0" fontId="0" fillId="0" borderId="2" xfId="0" applyBorder="1"/>
    <xf numFmtId="164" fontId="5" fillId="0" borderId="1" xfId="0" applyNumberFormat="1" applyFont="1" applyFill="1" applyBorder="1" applyAlignment="1">
      <alignment horizontal="center" vertical="top" wrapText="1"/>
    </xf>
    <xf numFmtId="164" fontId="5" fillId="5" borderId="3" xfId="0" applyNumberFormat="1" applyFont="1" applyFill="1" applyBorder="1" applyAlignment="1">
      <alignment horizontal="center" vertical="top" wrapText="1"/>
    </xf>
    <xf numFmtId="0" fontId="8" fillId="0" borderId="0" xfId="0" applyFont="1" applyBorder="1" applyAlignment="1" applyProtection="1"/>
    <xf numFmtId="0" fontId="8" fillId="6" borderId="0" xfId="0" applyFont="1" applyFill="1" applyBorder="1" applyAlignment="1" applyProtection="1">
      <protection locked="0"/>
    </xf>
    <xf numFmtId="0" fontId="9" fillId="0" borderId="1" xfId="0" applyFont="1" applyFill="1" applyBorder="1" applyAlignment="1">
      <alignment vertical="center"/>
    </xf>
    <xf numFmtId="3" fontId="9" fillId="0" borderId="2" xfId="0" applyNumberFormat="1" applyFont="1" applyBorder="1" applyAlignment="1">
      <alignment vertical="center"/>
    </xf>
    <xf numFmtId="3" fontId="9" fillId="5" borderId="3" xfId="0" applyNumberFormat="1" applyFont="1" applyFill="1" applyBorder="1" applyAlignment="1">
      <alignment vertical="center"/>
    </xf>
    <xf numFmtId="0" fontId="10" fillId="0" borderId="0" xfId="0" applyFont="1"/>
    <xf numFmtId="0" fontId="0" fillId="0" borderId="5" xfId="0" applyBorder="1"/>
    <xf numFmtId="0" fontId="0" fillId="0" borderId="0" xfId="0" applyBorder="1"/>
    <xf numFmtId="0" fontId="0" fillId="0" borderId="12" xfId="0" applyBorder="1"/>
    <xf numFmtId="0" fontId="0" fillId="0" borderId="13" xfId="0" applyBorder="1" applyAlignment="1">
      <alignment horizontal="center"/>
    </xf>
    <xf numFmtId="0" fontId="0" fillId="0" borderId="14" xfId="0" applyBorder="1"/>
    <xf numFmtId="0" fontId="0" fillId="0" borderId="15" xfId="0" applyBorder="1"/>
    <xf numFmtId="0" fontId="0" fillId="0" borderId="13" xfId="0" applyBorder="1"/>
    <xf numFmtId="0" fontId="0" fillId="0" borderId="1" xfId="0" applyBorder="1"/>
    <xf numFmtId="0" fontId="0" fillId="0" borderId="10" xfId="0" applyBorder="1"/>
    <xf numFmtId="0" fontId="1" fillId="0" borderId="13" xfId="0" applyFont="1" applyBorder="1"/>
    <xf numFmtId="0" fontId="1" fillId="0" borderId="10" xfId="0" applyFont="1" applyBorder="1" applyAlignment="1">
      <alignment horizontal="center" vertical="top"/>
    </xf>
    <xf numFmtId="0" fontId="1" fillId="0" borderId="5" xfId="0" applyFont="1" applyBorder="1"/>
    <xf numFmtId="0" fontId="1" fillId="0" borderId="12" xfId="0" applyFont="1" applyBorder="1"/>
    <xf numFmtId="0" fontId="0" fillId="0" borderId="12" xfId="0" applyBorder="1" applyAlignment="1">
      <alignment horizontal="center"/>
    </xf>
    <xf numFmtId="0" fontId="0" fillId="0" borderId="0" xfId="0" applyBorder="1" applyAlignment="1">
      <alignment horizontal="center"/>
    </xf>
    <xf numFmtId="0" fontId="11" fillId="0" borderId="0" xfId="0" applyFont="1"/>
    <xf numFmtId="0" fontId="11" fillId="0" borderId="0" xfId="0" applyFont="1" applyBorder="1"/>
    <xf numFmtId="0" fontId="12" fillId="0" borderId="0" xfId="2"/>
    <xf numFmtId="3" fontId="12" fillId="0" borderId="0" xfId="2" applyNumberFormat="1"/>
    <xf numFmtId="0" fontId="12" fillId="0" borderId="0" xfId="2" applyAlignment="1">
      <alignment wrapText="1"/>
    </xf>
    <xf numFmtId="3" fontId="12" fillId="0" borderId="0" xfId="2" applyNumberFormat="1" applyAlignment="1">
      <alignment wrapText="1"/>
    </xf>
    <xf numFmtId="0" fontId="0" fillId="0" borderId="0" xfId="0" applyAlignment="1">
      <alignment wrapText="1"/>
    </xf>
    <xf numFmtId="0" fontId="0" fillId="0" borderId="16" xfId="3" applyFont="1" applyBorder="1" applyAlignment="1">
      <alignment wrapText="1"/>
    </xf>
    <xf numFmtId="0" fontId="0" fillId="0" borderId="0" xfId="3" applyFont="1" applyAlignment="1">
      <alignment wrapText="1"/>
    </xf>
    <xf numFmtId="3" fontId="0" fillId="0" borderId="0" xfId="3" applyNumberFormat="1" applyFont="1"/>
    <xf numFmtId="3" fontId="0" fillId="0" borderId="0" xfId="3" applyNumberFormat="1" applyFont="1" applyAlignment="1"/>
    <xf numFmtId="0" fontId="0" fillId="0" borderId="0" xfId="3" applyFont="1" applyAlignment="1">
      <alignment horizontal="right"/>
    </xf>
    <xf numFmtId="0" fontId="14" fillId="0" borderId="0" xfId="3" applyFont="1"/>
    <xf numFmtId="3" fontId="0" fillId="0" borderId="9" xfId="3" applyNumberFormat="1" applyFont="1" applyBorder="1"/>
    <xf numFmtId="0" fontId="1" fillId="0" borderId="0" xfId="0" applyFont="1" applyAlignment="1">
      <alignment horizontal="center"/>
    </xf>
    <xf numFmtId="0" fontId="15" fillId="0" borderId="1" xfId="2" applyFont="1" applyBorder="1"/>
    <xf numFmtId="0" fontId="15" fillId="0" borderId="2" xfId="2" applyFont="1" applyBorder="1"/>
    <xf numFmtId="3" fontId="15" fillId="0" borderId="2" xfId="2" applyNumberFormat="1" applyFont="1" applyBorder="1"/>
    <xf numFmtId="4" fontId="12" fillId="0" borderId="0" xfId="2" applyNumberFormat="1"/>
    <xf numFmtId="4" fontId="12" fillId="0" borderId="0" xfId="2" applyNumberFormat="1" applyAlignment="1">
      <alignment wrapText="1"/>
    </xf>
    <xf numFmtId="4" fontId="0" fillId="0" borderId="0" xfId="0" applyNumberFormat="1"/>
    <xf numFmtId="0" fontId="15" fillId="0" borderId="10" xfId="2" applyFont="1" applyBorder="1"/>
    <xf numFmtId="0" fontId="15" fillId="0" borderId="3" xfId="2" applyFont="1" applyBorder="1"/>
    <xf numFmtId="0" fontId="16" fillId="0" borderId="0" xfId="0" applyFont="1" applyFill="1" applyAlignment="1">
      <alignment horizontal="left"/>
    </xf>
    <xf numFmtId="0" fontId="17" fillId="0" borderId="0" xfId="0" applyFont="1" applyFill="1" applyAlignment="1">
      <alignment horizontal="left"/>
    </xf>
    <xf numFmtId="0" fontId="18" fillId="0" borderId="0" xfId="0" applyFont="1"/>
    <xf numFmtId="0" fontId="19" fillId="0" borderId="0" xfId="0" applyFont="1" applyAlignment="1"/>
    <xf numFmtId="2" fontId="19" fillId="0" borderId="17" xfId="0" applyNumberFormat="1" applyFont="1" applyBorder="1" applyAlignment="1">
      <alignment horizontal="center" vertical="top" wrapText="1"/>
    </xf>
    <xf numFmtId="2" fontId="19" fillId="0" borderId="18" xfId="0" applyNumberFormat="1" applyFont="1" applyBorder="1" applyAlignment="1">
      <alignment vertical="top"/>
    </xf>
    <xf numFmtId="0" fontId="0" fillId="0" borderId="18" xfId="0" applyBorder="1"/>
    <xf numFmtId="164" fontId="19" fillId="0" borderId="17" xfId="0" applyNumberFormat="1" applyFont="1" applyBorder="1" applyAlignment="1">
      <alignment horizontal="center" vertical="top" wrapText="1"/>
    </xf>
    <xf numFmtId="0" fontId="20" fillId="0" borderId="0" xfId="0" applyFont="1"/>
    <xf numFmtId="0" fontId="21" fillId="0" borderId="0" xfId="0" applyFont="1"/>
    <xf numFmtId="0" fontId="21" fillId="0" borderId="0" xfId="0" applyFont="1" applyAlignment="1">
      <alignment horizontal="right" indent="4"/>
    </xf>
    <xf numFmtId="164" fontId="21" fillId="0" borderId="0" xfId="0" applyNumberFormat="1" applyFont="1" applyAlignment="1">
      <alignment horizontal="right" indent="4"/>
    </xf>
    <xf numFmtId="0" fontId="19" fillId="0" borderId="0" xfId="0" applyFont="1"/>
    <xf numFmtId="165" fontId="19" fillId="0" borderId="0" xfId="0" applyNumberFormat="1" applyFont="1"/>
    <xf numFmtId="0" fontId="18" fillId="0" borderId="20" xfId="0" applyFont="1" applyBorder="1"/>
    <xf numFmtId="0" fontId="18" fillId="0" borderId="18" xfId="0" applyFont="1" applyBorder="1"/>
    <xf numFmtId="0" fontId="18" fillId="0" borderId="21" xfId="0" applyFont="1" applyBorder="1"/>
    <xf numFmtId="2" fontId="19" fillId="0" borderId="22" xfId="0" applyNumberFormat="1" applyFont="1" applyBorder="1" applyAlignment="1">
      <alignment horizontal="center" vertical="top" wrapText="1"/>
    </xf>
    <xf numFmtId="2" fontId="18" fillId="0" borderId="18" xfId="0" applyNumberFormat="1" applyFont="1" applyBorder="1" applyAlignment="1">
      <alignment vertical="top"/>
    </xf>
    <xf numFmtId="2" fontId="21" fillId="0" borderId="18" xfId="0" applyNumberFormat="1" applyFont="1" applyBorder="1" applyAlignment="1">
      <alignment vertical="top"/>
    </xf>
    <xf numFmtId="2" fontId="19" fillId="0" borderId="23" xfId="0" applyNumberFormat="1" applyFont="1" applyBorder="1" applyAlignment="1">
      <alignment horizontal="center" vertical="top" wrapText="1"/>
    </xf>
    <xf numFmtId="2" fontId="19" fillId="0" borderId="20" xfId="0" applyNumberFormat="1" applyFont="1" applyBorder="1" applyAlignment="1">
      <alignment vertical="top"/>
    </xf>
    <xf numFmtId="164" fontId="19" fillId="0" borderId="23" xfId="0" applyNumberFormat="1" applyFont="1" applyBorder="1" applyAlignment="1">
      <alignment horizontal="center" vertical="top" wrapText="1"/>
    </xf>
    <xf numFmtId="0" fontId="19" fillId="0" borderId="24" xfId="1" applyFont="1" applyFill="1" applyBorder="1" applyAlignment="1" applyProtection="1">
      <alignment horizontal="left" vertical="center"/>
    </xf>
    <xf numFmtId="0" fontId="19" fillId="0" borderId="0" xfId="1" applyFont="1" applyFill="1" applyAlignment="1" applyProtection="1">
      <alignment horizontal="left" vertical="center"/>
    </xf>
    <xf numFmtId="166" fontId="19" fillId="0" borderId="24" xfId="0" applyNumberFormat="1" applyFont="1" applyBorder="1" applyAlignment="1">
      <alignment horizontal="right" indent="3"/>
    </xf>
    <xf numFmtId="0" fontId="19" fillId="0" borderId="0" xfId="0" applyFont="1" applyAlignment="1">
      <alignment horizontal="right"/>
    </xf>
    <xf numFmtId="166" fontId="19" fillId="0" borderId="0" xfId="0" applyNumberFormat="1" applyFont="1" applyAlignment="1">
      <alignment horizontal="right" indent="3"/>
    </xf>
    <xf numFmtId="166" fontId="19" fillId="0" borderId="0" xfId="0" applyNumberFormat="1" applyFont="1"/>
    <xf numFmtId="166" fontId="19" fillId="0" borderId="0" xfId="0" applyNumberFormat="1" applyFont="1" applyAlignment="1">
      <alignment horizontal="left" indent="10"/>
    </xf>
    <xf numFmtId="166" fontId="19" fillId="0" borderId="25" xfId="0" applyNumberFormat="1" applyFont="1" applyBorder="1" applyAlignment="1">
      <alignment horizontal="left" indent="10"/>
    </xf>
    <xf numFmtId="0" fontId="19" fillId="0" borderId="24" xfId="0" applyFont="1" applyBorder="1" applyAlignment="1">
      <alignment horizontal="right"/>
    </xf>
    <xf numFmtId="3" fontId="19" fillId="0" borderId="0" xfId="0" applyNumberFormat="1" applyFont="1" applyAlignment="1">
      <alignment horizontal="right" indent="4"/>
    </xf>
    <xf numFmtId="1" fontId="19" fillId="0" borderId="0" xfId="0" applyNumberFormat="1" applyFont="1" applyAlignment="1">
      <alignment horizontal="right" indent="4"/>
    </xf>
    <xf numFmtId="164" fontId="19" fillId="0" borderId="0" xfId="0" applyNumberFormat="1" applyFont="1" applyAlignment="1">
      <alignment horizontal="right" indent="4"/>
    </xf>
    <xf numFmtId="164" fontId="19" fillId="0" borderId="25" xfId="0" applyNumberFormat="1" applyFont="1" applyBorder="1" applyAlignment="1">
      <alignment horizontal="right" indent="4"/>
    </xf>
    <xf numFmtId="166" fontId="0" fillId="0" borderId="0" xfId="0" applyNumberFormat="1"/>
    <xf numFmtId="0" fontId="3" fillId="0" borderId="4" xfId="0" applyFont="1" applyBorder="1"/>
    <xf numFmtId="0" fontId="3" fillId="0" borderId="5" xfId="0" applyFont="1" applyBorder="1"/>
    <xf numFmtId="0" fontId="3" fillId="0" borderId="6" xfId="0" applyFont="1" applyBorder="1"/>
    <xf numFmtId="2" fontId="6" fillId="0" borderId="5" xfId="0" applyNumberFormat="1" applyFont="1" applyBorder="1" applyAlignment="1">
      <alignment vertical="top"/>
    </xf>
    <xf numFmtId="2" fontId="6" fillId="0" borderId="2" xfId="0" applyNumberFormat="1" applyFont="1" applyBorder="1" applyAlignment="1">
      <alignment horizontal="center" vertical="top" wrapText="1"/>
    </xf>
    <xf numFmtId="2" fontId="3" fillId="0" borderId="5" xfId="0" applyNumberFormat="1" applyFont="1" applyBorder="1" applyAlignment="1">
      <alignment vertical="top"/>
    </xf>
    <xf numFmtId="2" fontId="6" fillId="0" borderId="4" xfId="0" applyNumberFormat="1" applyFont="1" applyBorder="1" applyAlignment="1">
      <alignment vertical="top"/>
    </xf>
    <xf numFmtId="164" fontId="5" fillId="0" borderId="2" xfId="0" applyNumberFormat="1" applyFont="1" applyBorder="1" applyAlignment="1">
      <alignment horizontal="center" vertical="top" wrapText="1"/>
    </xf>
    <xf numFmtId="2" fontId="5" fillId="0" borderId="5" xfId="0" applyNumberFormat="1" applyFont="1" applyBorder="1" applyAlignment="1">
      <alignment vertical="top"/>
    </xf>
    <xf numFmtId="164" fontId="5" fillId="0" borderId="3" xfId="0" applyNumberFormat="1" applyFont="1" applyBorder="1" applyAlignment="1">
      <alignment horizontal="center" vertical="top" wrapText="1"/>
    </xf>
    <xf numFmtId="0" fontId="5" fillId="2" borderId="11" xfId="4" applyFont="1" applyFill="1" applyBorder="1" applyAlignment="1" applyProtection="1">
      <protection locked="0"/>
    </xf>
    <xf numFmtId="0" fontId="5" fillId="2" borderId="12" xfId="4" applyFont="1" applyFill="1" applyBorder="1" applyAlignment="1" applyProtection="1">
      <protection locked="0"/>
    </xf>
    <xf numFmtId="0" fontId="5" fillId="0" borderId="12" xfId="4" applyFont="1" applyFill="1" applyBorder="1" applyAlignment="1" applyProtection="1">
      <protection locked="0"/>
    </xf>
    <xf numFmtId="0" fontId="5" fillId="0" borderId="26" xfId="4" applyFont="1" applyFill="1" applyBorder="1" applyAlignment="1" applyProtection="1">
      <protection locked="0"/>
    </xf>
    <xf numFmtId="0" fontId="6" fillId="0" borderId="12" xfId="0" applyFont="1" applyFill="1" applyBorder="1" applyAlignment="1">
      <alignment horizontal="right" wrapText="1"/>
    </xf>
    <xf numFmtId="4" fontId="5" fillId="0" borderId="2" xfId="4" applyNumberFormat="1" applyFont="1" applyFill="1" applyBorder="1" applyAlignment="1" applyProtection="1">
      <alignment horizontal="center" wrapText="1"/>
      <protection locked="0"/>
    </xf>
    <xf numFmtId="0" fontId="3" fillId="0" borderId="12" xfId="0" applyFont="1" applyBorder="1"/>
    <xf numFmtId="0" fontId="6" fillId="0" borderId="11" xfId="0" applyFont="1" applyFill="1" applyBorder="1" applyAlignment="1">
      <alignment horizontal="right" wrapText="1"/>
    </xf>
    <xf numFmtId="4" fontId="5" fillId="0" borderId="2" xfId="4" applyNumberFormat="1" applyFont="1" applyFill="1" applyBorder="1" applyAlignment="1" applyProtection="1">
      <alignment horizontal="right" wrapText="1" indent="4"/>
      <protection locked="0"/>
    </xf>
    <xf numFmtId="164" fontId="5" fillId="0" borderId="2" xfId="4" applyNumberFormat="1" applyFont="1" applyFill="1" applyBorder="1" applyAlignment="1" applyProtection="1">
      <alignment horizontal="right" wrapText="1" indent="4"/>
      <protection locked="0"/>
    </xf>
    <xf numFmtId="164" fontId="5" fillId="0" borderId="3" xfId="4" applyNumberFormat="1" applyFont="1" applyFill="1" applyBorder="1" applyAlignment="1" applyProtection="1">
      <alignment horizontal="right" wrapText="1" indent="4"/>
      <protection locked="0"/>
    </xf>
    <xf numFmtId="0" fontId="6" fillId="0" borderId="4" xfId="1" applyFont="1" applyFill="1" applyBorder="1" applyAlignment="1">
      <alignment horizontal="left" vertical="center"/>
    </xf>
    <xf numFmtId="0" fontId="6" fillId="0" borderId="5" xfId="1" applyFont="1" applyFill="1" applyBorder="1" applyAlignment="1">
      <alignment horizontal="left" vertical="center"/>
    </xf>
    <xf numFmtId="0" fontId="6" fillId="0" borderId="5" xfId="1" applyNumberFormat="1" applyFont="1" applyFill="1" applyBorder="1" applyAlignment="1">
      <alignment horizontal="left" vertical="center"/>
    </xf>
    <xf numFmtId="0" fontId="5" fillId="0" borderId="5" xfId="0" applyFont="1" applyBorder="1" applyAlignment="1">
      <alignment horizontal="right"/>
    </xf>
    <xf numFmtId="167" fontId="5" fillId="0" borderId="5" xfId="0" applyNumberFormat="1" applyFont="1" applyBorder="1" applyAlignment="1">
      <alignment horizontal="right" indent="3"/>
    </xf>
    <xf numFmtId="0" fontId="6" fillId="0" borderId="5" xfId="0" applyFont="1" applyBorder="1"/>
    <xf numFmtId="167" fontId="6" fillId="0" borderId="5" xfId="0" applyNumberFormat="1" applyFont="1" applyBorder="1" applyAlignment="1">
      <alignment horizontal="left" indent="10"/>
    </xf>
    <xf numFmtId="0" fontId="5" fillId="0" borderId="4" xfId="0" applyFont="1" applyBorder="1" applyAlignment="1">
      <alignment horizontal="right"/>
    </xf>
    <xf numFmtId="3" fontId="6" fillId="0" borderId="5" xfId="0" applyNumberFormat="1" applyFont="1" applyBorder="1" applyAlignment="1">
      <alignment horizontal="right" indent="4"/>
    </xf>
    <xf numFmtId="1" fontId="5" fillId="0" borderId="5" xfId="0" applyNumberFormat="1" applyFont="1" applyBorder="1" applyAlignment="1">
      <alignment horizontal="right" indent="4"/>
    </xf>
    <xf numFmtId="164" fontId="5" fillId="0" borderId="5" xfId="0" applyNumberFormat="1" applyFont="1" applyBorder="1" applyAlignment="1">
      <alignment horizontal="right" indent="4"/>
    </xf>
    <xf numFmtId="164" fontId="5" fillId="0" borderId="6" xfId="0" applyNumberFormat="1" applyFont="1" applyBorder="1" applyAlignment="1">
      <alignment horizontal="right" indent="4"/>
    </xf>
    <xf numFmtId="0" fontId="6" fillId="0" borderId="7" xfId="1" applyFont="1" applyFill="1" applyBorder="1" applyAlignment="1">
      <alignment horizontal="left" vertical="center"/>
    </xf>
    <xf numFmtId="0" fontId="6" fillId="0" borderId="0" xfId="1" applyFont="1" applyFill="1" applyBorder="1" applyAlignment="1">
      <alignment horizontal="left" vertical="center"/>
    </xf>
    <xf numFmtId="0" fontId="6" fillId="0" borderId="0" xfId="1" applyNumberFormat="1" applyFont="1" applyFill="1" applyBorder="1" applyAlignment="1">
      <alignment horizontal="left" vertical="center"/>
    </xf>
    <xf numFmtId="0" fontId="5" fillId="0" borderId="0" xfId="0" applyFont="1" applyBorder="1" applyAlignment="1">
      <alignment horizontal="right"/>
    </xf>
    <xf numFmtId="167" fontId="5" fillId="0" borderId="0" xfId="0" applyNumberFormat="1" applyFont="1" applyBorder="1" applyAlignment="1">
      <alignment horizontal="right" indent="3"/>
    </xf>
    <xf numFmtId="0" fontId="6" fillId="0" borderId="0" xfId="0" applyFont="1" applyBorder="1"/>
    <xf numFmtId="167" fontId="6" fillId="0" borderId="0" xfId="0" applyNumberFormat="1" applyFont="1" applyBorder="1" applyAlignment="1">
      <alignment horizontal="left" indent="10"/>
    </xf>
    <xf numFmtId="0" fontId="5" fillId="0" borderId="7" xfId="0" applyFont="1" applyBorder="1" applyAlignment="1">
      <alignment horizontal="right"/>
    </xf>
    <xf numFmtId="3" fontId="6" fillId="0" borderId="0" xfId="0" applyNumberFormat="1" applyFont="1" applyBorder="1" applyAlignment="1">
      <alignment horizontal="right" indent="4"/>
    </xf>
    <xf numFmtId="1" fontId="5" fillId="0" borderId="0" xfId="0" applyNumberFormat="1" applyFont="1" applyBorder="1" applyAlignment="1">
      <alignment horizontal="right" indent="4"/>
    </xf>
    <xf numFmtId="164" fontId="5" fillId="0" borderId="0" xfId="0" applyNumberFormat="1" applyFont="1" applyBorder="1" applyAlignment="1">
      <alignment horizontal="right" indent="4"/>
    </xf>
    <xf numFmtId="164" fontId="5" fillId="0" borderId="8" xfId="0" applyNumberFormat="1" applyFont="1" applyBorder="1" applyAlignment="1">
      <alignment horizontal="right" indent="4"/>
    </xf>
    <xf numFmtId="0" fontId="6" fillId="0" borderId="11" xfId="1" applyFont="1" applyFill="1" applyBorder="1" applyAlignment="1">
      <alignment horizontal="left" vertical="center"/>
    </xf>
    <xf numFmtId="0" fontId="6" fillId="0" borderId="12" xfId="1" applyFont="1" applyFill="1" applyBorder="1" applyAlignment="1">
      <alignment horizontal="left" vertical="center"/>
    </xf>
    <xf numFmtId="0" fontId="6" fillId="0" borderId="12" xfId="1" applyNumberFormat="1" applyFont="1" applyFill="1" applyBorder="1" applyAlignment="1">
      <alignment horizontal="left" vertical="center"/>
    </xf>
    <xf numFmtId="0" fontId="5" fillId="0" borderId="12" xfId="0" applyFont="1" applyBorder="1" applyAlignment="1">
      <alignment horizontal="right"/>
    </xf>
    <xf numFmtId="167" fontId="5" fillId="0" borderId="12" xfId="0" applyNumberFormat="1" applyFont="1" applyBorder="1" applyAlignment="1">
      <alignment horizontal="right" indent="3"/>
    </xf>
    <xf numFmtId="0" fontId="6" fillId="0" borderId="12" xfId="0" applyFont="1" applyBorder="1"/>
    <xf numFmtId="167" fontId="6" fillId="0" borderId="12" xfId="0" applyNumberFormat="1" applyFont="1" applyBorder="1" applyAlignment="1">
      <alignment horizontal="left" indent="10"/>
    </xf>
    <xf numFmtId="0" fontId="5" fillId="0" borderId="11" xfId="0" applyFont="1" applyBorder="1" applyAlignment="1">
      <alignment horizontal="right"/>
    </xf>
    <xf numFmtId="3" fontId="6" fillId="0" borderId="12" xfId="0" applyNumberFormat="1" applyFont="1" applyBorder="1" applyAlignment="1">
      <alignment horizontal="right" indent="4"/>
    </xf>
    <xf numFmtId="1" fontId="5" fillId="0" borderId="12" xfId="0" applyNumberFormat="1" applyFont="1" applyBorder="1" applyAlignment="1">
      <alignment horizontal="right" indent="4"/>
    </xf>
    <xf numFmtId="164" fontId="5" fillId="0" borderId="12" xfId="0" applyNumberFormat="1" applyFont="1" applyBorder="1" applyAlignment="1">
      <alignment horizontal="right" indent="4"/>
    </xf>
    <xf numFmtId="164" fontId="5" fillId="0" borderId="26" xfId="0" applyNumberFormat="1" applyFont="1" applyBorder="1" applyAlignment="1">
      <alignment horizontal="right" indent="4"/>
    </xf>
    <xf numFmtId="0" fontId="0" fillId="7" borderId="0" xfId="0" applyFill="1"/>
    <xf numFmtId="0" fontId="26" fillId="0" borderId="0" xfId="2" applyFont="1"/>
    <xf numFmtId="0" fontId="27" fillId="0" borderId="0" xfId="2" applyFont="1"/>
    <xf numFmtId="0" fontId="28" fillId="0" borderId="0" xfId="0" applyFont="1"/>
    <xf numFmtId="0" fontId="0" fillId="8" borderId="0" xfId="0" applyFill="1"/>
    <xf numFmtId="43" fontId="0" fillId="7" borderId="0" xfId="0" applyNumberFormat="1" applyFill="1"/>
    <xf numFmtId="4" fontId="0" fillId="7" borderId="0" xfId="0" applyNumberFormat="1" applyFill="1"/>
    <xf numFmtId="0" fontId="0" fillId="7" borderId="0" xfId="0" applyFill="1" applyBorder="1"/>
    <xf numFmtId="0" fontId="1" fillId="4" borderId="5" xfId="0" applyFont="1" applyFill="1" applyBorder="1" applyAlignment="1">
      <alignment vertical="top"/>
    </xf>
    <xf numFmtId="2" fontId="0" fillId="4" borderId="10" xfId="0" applyNumberFormat="1" applyFill="1" applyBorder="1" applyAlignment="1">
      <alignment horizontal="center" vertical="top"/>
    </xf>
    <xf numFmtId="0" fontId="0" fillId="4" borderId="10" xfId="0" applyFill="1" applyBorder="1" applyAlignment="1">
      <alignment vertical="top"/>
    </xf>
    <xf numFmtId="0" fontId="1" fillId="4" borderId="10" xfId="0" applyFont="1" applyFill="1" applyBorder="1" applyAlignment="1">
      <alignment horizontal="left" vertical="center"/>
    </xf>
    <xf numFmtId="0" fontId="0" fillId="4" borderId="10" xfId="0" applyFill="1" applyBorder="1" applyAlignment="1">
      <alignment horizontal="left" vertical="center"/>
    </xf>
    <xf numFmtId="0" fontId="0" fillId="10" borderId="13" xfId="0" applyFill="1" applyBorder="1" applyAlignment="1">
      <alignment horizontal="center"/>
    </xf>
    <xf numFmtId="0" fontId="0" fillId="10" borderId="13" xfId="0" applyFill="1" applyBorder="1"/>
    <xf numFmtId="0" fontId="0" fillId="10" borderId="14" xfId="0" applyFill="1" applyBorder="1"/>
    <xf numFmtId="0" fontId="0" fillId="10" borderId="15" xfId="0" applyFill="1" applyBorder="1"/>
    <xf numFmtId="0" fontId="1" fillId="10" borderId="4" xfId="0" applyFont="1" applyFill="1" applyBorder="1"/>
    <xf numFmtId="0" fontId="0" fillId="10" borderId="4" xfId="0" applyFill="1" applyBorder="1" applyAlignment="1">
      <alignment horizontal="center"/>
    </xf>
    <xf numFmtId="0" fontId="0" fillId="10" borderId="7" xfId="0" applyFill="1" applyBorder="1"/>
    <xf numFmtId="0" fontId="0" fillId="10" borderId="7" xfId="0" applyFill="1" applyBorder="1" applyAlignment="1">
      <alignment horizontal="center"/>
    </xf>
    <xf numFmtId="0" fontId="0" fillId="10" borderId="14" xfId="0" applyFill="1" applyBorder="1" applyAlignment="1">
      <alignment wrapText="1"/>
    </xf>
    <xf numFmtId="0" fontId="0" fillId="10" borderId="11" xfId="0" applyFill="1" applyBorder="1"/>
    <xf numFmtId="0" fontId="1" fillId="3" borderId="4" xfId="0" applyFont="1" applyFill="1" applyBorder="1"/>
    <xf numFmtId="0" fontId="0" fillId="3" borderId="13" xfId="0" applyFill="1" applyBorder="1" applyAlignment="1">
      <alignment horizontal="center"/>
    </xf>
    <xf numFmtId="0" fontId="0" fillId="3" borderId="13" xfId="0" applyFill="1" applyBorder="1"/>
    <xf numFmtId="0" fontId="0" fillId="3" borderId="7" xfId="0" applyFill="1" applyBorder="1"/>
    <xf numFmtId="0" fontId="0" fillId="3" borderId="14" xfId="0" applyFill="1" applyBorder="1" applyAlignment="1">
      <alignment horizontal="center"/>
    </xf>
    <xf numFmtId="0" fontId="0" fillId="3" borderId="14" xfId="0" applyFill="1" applyBorder="1"/>
    <xf numFmtId="0" fontId="1" fillId="5" borderId="4" xfId="0" applyFont="1" applyFill="1" applyBorder="1"/>
    <xf numFmtId="0" fontId="0" fillId="5" borderId="13" xfId="0" applyFill="1" applyBorder="1" applyAlignment="1">
      <alignment horizontal="center"/>
    </xf>
    <xf numFmtId="0" fontId="0" fillId="5" borderId="13" xfId="0" applyFill="1" applyBorder="1"/>
    <xf numFmtId="0" fontId="0" fillId="5" borderId="7" xfId="0" applyFill="1" applyBorder="1" applyAlignment="1">
      <alignment wrapText="1"/>
    </xf>
    <xf numFmtId="0" fontId="0" fillId="5" borderId="14" xfId="0" applyFill="1" applyBorder="1" applyAlignment="1">
      <alignment horizontal="center"/>
    </xf>
    <xf numFmtId="0" fontId="0" fillId="5" borderId="14" xfId="0" applyFill="1" applyBorder="1"/>
    <xf numFmtId="0" fontId="0" fillId="5" borderId="11" xfId="0" applyFill="1" applyBorder="1"/>
    <xf numFmtId="0" fontId="0" fillId="5" borderId="15" xfId="0" applyFill="1" applyBorder="1" applyAlignment="1">
      <alignment horizontal="center"/>
    </xf>
    <xf numFmtId="0" fontId="0" fillId="5" borderId="15" xfId="0" applyFill="1" applyBorder="1"/>
    <xf numFmtId="0" fontId="1" fillId="9" borderId="4" xfId="0" applyFont="1" applyFill="1" applyBorder="1" applyAlignment="1">
      <alignment vertical="top"/>
    </xf>
    <xf numFmtId="2" fontId="0" fillId="9" borderId="13" xfId="0" applyNumberFormat="1" applyFill="1" applyBorder="1" applyAlignment="1">
      <alignment horizontal="center" vertical="top"/>
    </xf>
    <xf numFmtId="0" fontId="0" fillId="9" borderId="13" xfId="0" applyFill="1" applyBorder="1" applyAlignment="1">
      <alignment vertical="top"/>
    </xf>
    <xf numFmtId="0" fontId="0" fillId="6" borderId="0" xfId="0" applyFill="1" applyProtection="1">
      <protection locked="0"/>
    </xf>
    <xf numFmtId="0" fontId="0" fillId="0" borderId="0" xfId="0" applyProtection="1">
      <protection locked="0"/>
    </xf>
    <xf numFmtId="0" fontId="0" fillId="7" borderId="0" xfId="0" applyFill="1" applyProtection="1">
      <protection locked="0"/>
    </xf>
    <xf numFmtId="0" fontId="0" fillId="0" borderId="0" xfId="0" applyProtection="1">
      <protection hidden="1"/>
    </xf>
    <xf numFmtId="0" fontId="0" fillId="7" borderId="0" xfId="0" applyFill="1" applyProtection="1">
      <protection hidden="1"/>
    </xf>
    <xf numFmtId="0" fontId="0" fillId="0" borderId="0" xfId="0" applyProtection="1">
      <protection locked="0" hidden="1"/>
    </xf>
    <xf numFmtId="0" fontId="0" fillId="7" borderId="0" xfId="0" applyFill="1" applyProtection="1">
      <protection locked="0" hidden="1"/>
    </xf>
    <xf numFmtId="0" fontId="3" fillId="2" borderId="1" xfId="0" applyFont="1" applyFill="1" applyBorder="1" applyProtection="1">
      <protection locked="0" hidden="1"/>
    </xf>
    <xf numFmtId="0" fontId="3" fillId="2" borderId="2" xfId="0" applyFont="1" applyFill="1" applyBorder="1" applyProtection="1">
      <protection locked="0" hidden="1"/>
    </xf>
    <xf numFmtId="0" fontId="3" fillId="2" borderId="3" xfId="0" applyFont="1" applyFill="1" applyBorder="1" applyProtection="1">
      <protection locked="0" hidden="1"/>
    </xf>
    <xf numFmtId="4" fontId="6" fillId="10" borderId="1" xfId="0" applyNumberFormat="1" applyFont="1" applyFill="1" applyBorder="1" applyAlignment="1" applyProtection="1">
      <alignment horizontal="center" vertical="top" wrapText="1"/>
      <protection locked="0" hidden="1"/>
    </xf>
    <xf numFmtId="4" fontId="6" fillId="2" borderId="2" xfId="0" applyNumberFormat="1" applyFont="1" applyFill="1" applyBorder="1" applyAlignment="1" applyProtection="1">
      <alignment vertical="top"/>
      <protection locked="0" hidden="1"/>
    </xf>
    <xf numFmtId="4" fontId="6" fillId="3" borderId="2" xfId="0" applyNumberFormat="1" applyFont="1" applyFill="1" applyBorder="1" applyAlignment="1" applyProtection="1">
      <alignment horizontal="center" vertical="top" wrapText="1"/>
      <protection locked="0" hidden="1"/>
    </xf>
    <xf numFmtId="4" fontId="3" fillId="2" borderId="2" xfId="0" applyNumberFormat="1" applyFont="1" applyFill="1" applyBorder="1" applyAlignment="1" applyProtection="1">
      <alignment vertical="top"/>
      <protection locked="0" hidden="1"/>
    </xf>
    <xf numFmtId="4" fontId="6" fillId="5" borderId="2" xfId="0" applyNumberFormat="1" applyFont="1" applyFill="1" applyBorder="1" applyAlignment="1" applyProtection="1">
      <alignment horizontal="center" vertical="top" wrapText="1"/>
      <protection locked="0" hidden="1"/>
    </xf>
    <xf numFmtId="4" fontId="4" fillId="0" borderId="2" xfId="0" applyNumberFormat="1" applyFont="1" applyFill="1" applyBorder="1" applyAlignment="1" applyProtection="1">
      <alignment vertical="top"/>
      <protection locked="0" hidden="1"/>
    </xf>
    <xf numFmtId="4" fontId="6" fillId="9" borderId="2" xfId="0" applyNumberFormat="1" applyFont="1" applyFill="1" applyBorder="1" applyAlignment="1" applyProtection="1">
      <alignment horizontal="center" vertical="top" wrapText="1"/>
      <protection locked="0" hidden="1"/>
    </xf>
    <xf numFmtId="4" fontId="6" fillId="0" borderId="2" xfId="0" applyNumberFormat="1" applyFont="1" applyFill="1" applyBorder="1" applyAlignment="1" applyProtection="1">
      <alignment vertical="top"/>
      <protection locked="0" hidden="1"/>
    </xf>
    <xf numFmtId="4" fontId="6" fillId="4" borderId="3" xfId="0" applyNumberFormat="1" applyFont="1" applyFill="1" applyBorder="1" applyAlignment="1" applyProtection="1">
      <alignment horizontal="center" vertical="top" wrapText="1"/>
      <protection locked="0" hidden="1"/>
    </xf>
    <xf numFmtId="2" fontId="6" fillId="2" borderId="1" xfId="0" applyNumberFormat="1" applyFont="1" applyFill="1" applyBorder="1" applyAlignment="1" applyProtection="1">
      <alignment vertical="top"/>
      <protection locked="0" hidden="1"/>
    </xf>
    <xf numFmtId="2" fontId="6" fillId="2" borderId="2" xfId="0" applyNumberFormat="1" applyFont="1" applyFill="1" applyBorder="1" applyAlignment="1" applyProtection="1">
      <alignment horizontal="center" vertical="top" wrapText="1"/>
      <protection locked="0" hidden="1"/>
    </xf>
    <xf numFmtId="2" fontId="6" fillId="2" borderId="2" xfId="0" applyNumberFormat="1" applyFont="1" applyFill="1" applyBorder="1" applyAlignment="1" applyProtection="1">
      <alignment vertical="top"/>
      <protection locked="0" hidden="1"/>
    </xf>
    <xf numFmtId="0" fontId="0" fillId="2" borderId="2" xfId="0" applyFill="1" applyBorder="1" applyProtection="1">
      <protection locked="0" hidden="1"/>
    </xf>
    <xf numFmtId="2" fontId="19" fillId="0" borderId="17" xfId="0" applyNumberFormat="1" applyFont="1" applyBorder="1" applyAlignment="1" applyProtection="1">
      <alignment horizontal="center" vertical="top" wrapText="1"/>
      <protection locked="0" hidden="1"/>
    </xf>
    <xf numFmtId="2" fontId="19" fillId="0" borderId="18" xfId="0" applyNumberFormat="1" applyFont="1" applyBorder="1" applyAlignment="1" applyProtection="1">
      <alignment vertical="top"/>
      <protection locked="0" hidden="1"/>
    </xf>
    <xf numFmtId="0" fontId="0" fillId="0" borderId="18" xfId="0" applyBorder="1" applyProtection="1">
      <protection locked="0" hidden="1"/>
    </xf>
    <xf numFmtId="164" fontId="19" fillId="0" borderId="17" xfId="0" applyNumberFormat="1" applyFont="1" applyBorder="1" applyAlignment="1" applyProtection="1">
      <alignment horizontal="center" vertical="top" wrapText="1"/>
      <protection locked="0" hidden="1"/>
    </xf>
    <xf numFmtId="164" fontId="19" fillId="0" borderId="0" xfId="0" applyNumberFormat="1" applyFont="1" applyBorder="1" applyAlignment="1" applyProtection="1">
      <alignment horizontal="center" vertical="top" wrapText="1"/>
      <protection locked="0" hidden="1"/>
    </xf>
    <xf numFmtId="2" fontId="19" fillId="8" borderId="17" xfId="0" applyNumberFormat="1" applyFont="1" applyFill="1" applyBorder="1" applyAlignment="1" applyProtection="1">
      <alignment horizontal="center" vertical="top" wrapText="1"/>
      <protection locked="0" hidden="1"/>
    </xf>
    <xf numFmtId="2" fontId="19" fillId="8" borderId="0" xfId="0" applyNumberFormat="1" applyFont="1" applyFill="1" applyBorder="1" applyAlignment="1" applyProtection="1">
      <alignment horizontal="center" vertical="top" wrapText="1"/>
      <protection locked="0" hidden="1"/>
    </xf>
    <xf numFmtId="2" fontId="19" fillId="3" borderId="0" xfId="0" applyNumberFormat="1" applyFont="1" applyFill="1" applyBorder="1" applyAlignment="1" applyProtection="1">
      <alignment horizontal="center" vertical="top" wrapText="1"/>
      <protection locked="0" hidden="1"/>
    </xf>
    <xf numFmtId="164" fontId="5" fillId="0" borderId="1" xfId="0" applyNumberFormat="1" applyFont="1" applyFill="1" applyBorder="1" applyAlignment="1" applyProtection="1">
      <alignment horizontal="center" vertical="top" wrapText="1"/>
      <protection locked="0" hidden="1"/>
    </xf>
    <xf numFmtId="164" fontId="5" fillId="2" borderId="2" xfId="0" applyNumberFormat="1" applyFont="1" applyFill="1" applyBorder="1" applyAlignment="1" applyProtection="1">
      <alignment horizontal="center" vertical="top" wrapText="1"/>
      <protection locked="0" hidden="1"/>
    </xf>
    <xf numFmtId="0" fontId="0" fillId="0" borderId="2" xfId="0" applyBorder="1" applyProtection="1">
      <protection locked="0" hidden="1"/>
    </xf>
    <xf numFmtId="164" fontId="5" fillId="4" borderId="3" xfId="0" applyNumberFormat="1" applyFont="1" applyFill="1" applyBorder="1" applyAlignment="1" applyProtection="1">
      <alignment horizontal="center" vertical="top" wrapText="1"/>
      <protection locked="0" hidden="1"/>
    </xf>
    <xf numFmtId="0" fontId="9" fillId="0" borderId="1" xfId="0" applyFont="1" applyBorder="1" applyAlignment="1" applyProtection="1">
      <alignment vertical="center"/>
      <protection locked="0" hidden="1"/>
    </xf>
    <xf numFmtId="0" fontId="9" fillId="0" borderId="2" xfId="0" applyFont="1" applyBorder="1" applyAlignment="1" applyProtection="1">
      <alignment vertical="center"/>
      <protection locked="0" hidden="1"/>
    </xf>
    <xf numFmtId="0" fontId="9" fillId="0" borderId="3" xfId="0" applyFont="1" applyBorder="1" applyAlignment="1" applyProtection="1">
      <alignment vertical="center"/>
      <protection locked="0" hidden="1"/>
    </xf>
    <xf numFmtId="4" fontId="9" fillId="10" borderId="1" xfId="0" applyNumberFormat="1" applyFont="1" applyFill="1" applyBorder="1" applyAlignment="1" applyProtection="1">
      <alignment vertical="center"/>
      <protection locked="0" hidden="1"/>
    </xf>
    <xf numFmtId="4" fontId="9" fillId="0" borderId="2" xfId="0" applyNumberFormat="1" applyFont="1" applyBorder="1" applyAlignment="1" applyProtection="1">
      <alignment vertical="center"/>
      <protection locked="0" hidden="1"/>
    </xf>
    <xf numFmtId="4" fontId="9" fillId="3" borderId="2" xfId="0" applyNumberFormat="1" applyFont="1" applyFill="1" applyBorder="1" applyAlignment="1" applyProtection="1">
      <alignment vertical="center"/>
      <protection locked="0" hidden="1"/>
    </xf>
    <xf numFmtId="4" fontId="9" fillId="5" borderId="2" xfId="0" applyNumberFormat="1" applyFont="1" applyFill="1" applyBorder="1" applyAlignment="1" applyProtection="1">
      <alignment vertical="center"/>
      <protection locked="0" hidden="1"/>
    </xf>
    <xf numFmtId="4" fontId="9" fillId="9" borderId="2" xfId="0" applyNumberFormat="1" applyFont="1" applyFill="1" applyBorder="1" applyAlignment="1" applyProtection="1">
      <alignment vertical="center"/>
      <protection locked="0" hidden="1"/>
    </xf>
    <xf numFmtId="4" fontId="9" fillId="0" borderId="2" xfId="0" applyNumberFormat="1" applyFont="1" applyFill="1" applyBorder="1" applyAlignment="1" applyProtection="1">
      <alignment vertical="center"/>
      <protection locked="0" hidden="1"/>
    </xf>
    <xf numFmtId="4" fontId="9" fillId="4" borderId="3" xfId="0" applyNumberFormat="1" applyFont="1" applyFill="1" applyBorder="1" applyAlignment="1" applyProtection="1">
      <alignment vertical="center"/>
      <protection locked="0" hidden="1"/>
    </xf>
    <xf numFmtId="0" fontId="9" fillId="8" borderId="2" xfId="0" applyFont="1" applyFill="1" applyBorder="1" applyAlignment="1" applyProtection="1">
      <alignment vertical="center"/>
      <protection locked="0" hidden="1"/>
    </xf>
    <xf numFmtId="0" fontId="9" fillId="3" borderId="2" xfId="0" applyFont="1" applyFill="1" applyBorder="1" applyAlignment="1" applyProtection="1">
      <alignment vertical="center"/>
      <protection locked="0" hidden="1"/>
    </xf>
    <xf numFmtId="0" fontId="9" fillId="0" borderId="1" xfId="0" applyFont="1" applyFill="1" applyBorder="1" applyAlignment="1" applyProtection="1">
      <alignment vertical="center"/>
      <protection locked="0" hidden="1"/>
    </xf>
    <xf numFmtId="3" fontId="9" fillId="0" borderId="2" xfId="0" applyNumberFormat="1" applyFont="1" applyBorder="1" applyAlignment="1" applyProtection="1">
      <alignment vertical="center"/>
      <protection locked="0" hidden="1"/>
    </xf>
    <xf numFmtId="3" fontId="9" fillId="4" borderId="3" xfId="0" applyNumberFormat="1" applyFont="1" applyFill="1" applyBorder="1" applyAlignment="1" applyProtection="1">
      <alignment vertical="center"/>
      <protection locked="0" hidden="1"/>
    </xf>
    <xf numFmtId="0" fontId="9" fillId="0" borderId="0" xfId="0" applyFont="1" applyAlignment="1" applyProtection="1">
      <alignment vertical="center"/>
      <protection locked="0" hidden="1"/>
    </xf>
    <xf numFmtId="0" fontId="9" fillId="7" borderId="0" xfId="0" applyFont="1" applyFill="1" applyAlignment="1" applyProtection="1">
      <alignment vertical="center"/>
      <protection locked="0" hidden="1"/>
    </xf>
    <xf numFmtId="0" fontId="15" fillId="0" borderId="12" xfId="2" applyFont="1" applyBorder="1" applyProtection="1">
      <protection hidden="1"/>
    </xf>
    <xf numFmtId="3" fontId="15" fillId="0" borderId="12" xfId="2" applyNumberFormat="1" applyFont="1" applyBorder="1" applyProtection="1">
      <protection hidden="1"/>
    </xf>
    <xf numFmtId="0" fontId="3" fillId="0" borderId="4" xfId="0" applyFont="1" applyBorder="1" applyProtection="1">
      <protection hidden="1"/>
    </xf>
    <xf numFmtId="0" fontId="3" fillId="0" borderId="5" xfId="0" applyFont="1" applyBorder="1" applyProtection="1">
      <protection hidden="1"/>
    </xf>
    <xf numFmtId="0" fontId="3" fillId="0" borderId="6" xfId="0" applyFont="1" applyBorder="1" applyProtection="1">
      <protection hidden="1"/>
    </xf>
    <xf numFmtId="2" fontId="6" fillId="0" borderId="5" xfId="0" applyNumberFormat="1" applyFont="1" applyBorder="1" applyAlignment="1" applyProtection="1">
      <alignment horizontal="center" vertical="top" wrapText="1"/>
      <protection hidden="1"/>
    </xf>
    <xf numFmtId="2" fontId="3" fillId="0" borderId="5" xfId="0" applyNumberFormat="1" applyFont="1" applyBorder="1" applyAlignment="1" applyProtection="1">
      <alignment vertical="top"/>
      <protection hidden="1"/>
    </xf>
    <xf numFmtId="2" fontId="6" fillId="10" borderId="5" xfId="0" applyNumberFormat="1" applyFont="1" applyFill="1" applyBorder="1" applyAlignment="1" applyProtection="1">
      <alignment horizontal="center" vertical="top" wrapText="1"/>
      <protection hidden="1"/>
    </xf>
    <xf numFmtId="2" fontId="6" fillId="0" borderId="5" xfId="0" applyNumberFormat="1" applyFont="1" applyBorder="1" applyAlignment="1" applyProtection="1">
      <alignment vertical="top"/>
      <protection hidden="1"/>
    </xf>
    <xf numFmtId="2" fontId="6" fillId="0" borderId="4" xfId="0" applyNumberFormat="1" applyFont="1" applyBorder="1" applyAlignment="1" applyProtection="1">
      <alignment vertical="top"/>
      <protection hidden="1"/>
    </xf>
    <xf numFmtId="0" fontId="0" fillId="0" borderId="5" xfId="0" applyBorder="1" applyProtection="1">
      <protection hidden="1"/>
    </xf>
    <xf numFmtId="164" fontId="5" fillId="0" borderId="5" xfId="0" applyNumberFormat="1" applyFont="1" applyBorder="1" applyAlignment="1" applyProtection="1">
      <alignment horizontal="center" vertical="top" wrapText="1"/>
      <protection hidden="1"/>
    </xf>
    <xf numFmtId="2" fontId="5" fillId="0" borderId="5" xfId="0" applyNumberFormat="1" applyFont="1" applyBorder="1" applyAlignment="1" applyProtection="1">
      <alignment vertical="top"/>
      <protection hidden="1"/>
    </xf>
    <xf numFmtId="164" fontId="5" fillId="10" borderId="6" xfId="0" applyNumberFormat="1" applyFont="1" applyFill="1" applyBorder="1" applyAlignment="1" applyProtection="1">
      <alignment horizontal="center" vertical="top" wrapText="1"/>
      <protection hidden="1"/>
    </xf>
    <xf numFmtId="0" fontId="5" fillId="2" borderId="11" xfId="4" applyFont="1" applyFill="1" applyBorder="1" applyAlignment="1" applyProtection="1">
      <protection hidden="1"/>
    </xf>
    <xf numFmtId="0" fontId="5" fillId="2" borderId="12" xfId="4" applyFont="1" applyFill="1" applyBorder="1" applyAlignment="1" applyProtection="1">
      <protection hidden="1"/>
    </xf>
    <xf numFmtId="0" fontId="5" fillId="0" borderId="12" xfId="4" applyFont="1" applyFill="1" applyBorder="1" applyAlignment="1" applyProtection="1">
      <protection hidden="1"/>
    </xf>
    <xf numFmtId="0" fontId="5" fillId="0" borderId="26" xfId="4" applyFont="1" applyFill="1" applyBorder="1" applyAlignment="1" applyProtection="1">
      <protection hidden="1"/>
    </xf>
    <xf numFmtId="4" fontId="5" fillId="0" borderId="11" xfId="4" applyNumberFormat="1" applyFont="1" applyFill="1" applyBorder="1" applyAlignment="1" applyProtection="1">
      <alignment horizontal="center" wrapText="1"/>
      <protection hidden="1"/>
    </xf>
    <xf numFmtId="0" fontId="3" fillId="0" borderId="12" xfId="0" applyFont="1" applyBorder="1" applyProtection="1">
      <protection hidden="1"/>
    </xf>
    <xf numFmtId="4" fontId="5" fillId="10" borderId="12" xfId="4" applyNumberFormat="1" applyFont="1" applyFill="1" applyBorder="1" applyAlignment="1" applyProtection="1">
      <alignment horizontal="center" wrapText="1"/>
      <protection hidden="1"/>
    </xf>
    <xf numFmtId="0" fontId="6" fillId="0" borderId="12" xfId="0" applyFont="1" applyFill="1" applyBorder="1" applyAlignment="1" applyProtection="1">
      <alignment horizontal="right" wrapText="1"/>
      <protection hidden="1"/>
    </xf>
    <xf numFmtId="0" fontId="6" fillId="0" borderId="11" xfId="0" applyFont="1" applyFill="1" applyBorder="1" applyAlignment="1" applyProtection="1">
      <alignment horizontal="right" wrapText="1"/>
      <protection hidden="1"/>
    </xf>
    <xf numFmtId="4" fontId="5" fillId="0" borderId="12" xfId="4" applyNumberFormat="1" applyFont="1" applyFill="1" applyBorder="1" applyAlignment="1" applyProtection="1">
      <alignment horizontal="right" wrapText="1" indent="4"/>
      <protection hidden="1"/>
    </xf>
    <xf numFmtId="0" fontId="0" fillId="0" borderId="12" xfId="0" applyBorder="1" applyProtection="1">
      <protection hidden="1"/>
    </xf>
    <xf numFmtId="164" fontId="5" fillId="0" borderId="12" xfId="4" applyNumberFormat="1" applyFont="1" applyFill="1" applyBorder="1" applyAlignment="1" applyProtection="1">
      <alignment horizontal="right" wrapText="1" indent="4"/>
      <protection hidden="1"/>
    </xf>
    <xf numFmtId="164" fontId="5" fillId="10" borderId="26" xfId="4" applyNumberFormat="1" applyFont="1" applyFill="1" applyBorder="1" applyAlignment="1" applyProtection="1">
      <alignment horizontal="right" wrapText="1" indent="4"/>
      <protection hidden="1"/>
    </xf>
    <xf numFmtId="0" fontId="6" fillId="0" borderId="1" xfId="1" applyFont="1" applyFill="1" applyBorder="1" applyAlignment="1" applyProtection="1">
      <alignment horizontal="left" vertical="center"/>
      <protection hidden="1"/>
    </xf>
    <xf numFmtId="0" fontId="6" fillId="0" borderId="2" xfId="1" applyFont="1" applyFill="1" applyBorder="1" applyAlignment="1" applyProtection="1">
      <alignment horizontal="left" vertical="center"/>
      <protection hidden="1"/>
    </xf>
    <xf numFmtId="168" fontId="6" fillId="0" borderId="2" xfId="5" applyNumberFormat="1" applyFont="1" applyFill="1" applyBorder="1" applyAlignment="1" applyProtection="1">
      <alignment horizontal="right" vertical="center"/>
      <protection hidden="1"/>
    </xf>
    <xf numFmtId="168" fontId="6" fillId="10" borderId="2" xfId="5" applyNumberFormat="1" applyFont="1" applyFill="1" applyBorder="1" applyAlignment="1" applyProtection="1">
      <alignment horizontal="right" vertical="center"/>
      <protection hidden="1"/>
    </xf>
    <xf numFmtId="164" fontId="6" fillId="0" borderId="2" xfId="5" applyNumberFormat="1" applyFont="1" applyFill="1" applyBorder="1" applyAlignment="1" applyProtection="1">
      <alignment horizontal="right" vertical="center"/>
      <protection hidden="1"/>
    </xf>
    <xf numFmtId="164" fontId="6" fillId="10" borderId="3" xfId="5" applyNumberFormat="1" applyFont="1" applyFill="1" applyBorder="1" applyAlignment="1" applyProtection="1">
      <alignment horizontal="right" vertical="center"/>
      <protection hidden="1"/>
    </xf>
    <xf numFmtId="0" fontId="0" fillId="8" borderId="0" xfId="0" applyFill="1" applyProtection="1">
      <protection locked="0"/>
    </xf>
    <xf numFmtId="0" fontId="16" fillId="0" borderId="0" xfId="0" applyFont="1" applyFill="1" applyAlignment="1" applyProtection="1">
      <alignment horizontal="left"/>
      <protection locked="0"/>
    </xf>
    <xf numFmtId="0" fontId="17" fillId="0" borderId="0" xfId="0" applyFont="1" applyFill="1" applyAlignment="1" applyProtection="1">
      <alignment horizontal="left"/>
      <protection locked="0"/>
    </xf>
    <xf numFmtId="0" fontId="18" fillId="0" borderId="0" xfId="0" applyFont="1" applyProtection="1">
      <protection locked="0"/>
    </xf>
    <xf numFmtId="0" fontId="19" fillId="0" borderId="0" xfId="0" applyFont="1" applyAlignment="1" applyProtection="1">
      <protection locked="0"/>
    </xf>
    <xf numFmtId="0" fontId="8" fillId="0" borderId="0" xfId="0" applyFont="1" applyBorder="1" applyAlignment="1" applyProtection="1">
      <protection locked="0"/>
    </xf>
    <xf numFmtId="0" fontId="7" fillId="2" borderId="1" xfId="0" applyFont="1" applyFill="1" applyBorder="1" applyAlignment="1" applyProtection="1">
      <alignment horizontal="center" vertical="center"/>
      <protection locked="0" hidden="1"/>
    </xf>
    <xf numFmtId="0" fontId="7" fillId="2" borderId="2" xfId="0" applyFont="1" applyFill="1" applyBorder="1" applyAlignment="1" applyProtection="1">
      <alignment horizontal="center" vertical="center"/>
      <protection locked="0" hidden="1"/>
    </xf>
    <xf numFmtId="0" fontId="7" fillId="2" borderId="3" xfId="0" applyFont="1" applyFill="1" applyBorder="1" applyAlignment="1" applyProtection="1">
      <alignment horizontal="center" vertical="center"/>
      <protection locked="0" hidden="1"/>
    </xf>
    <xf numFmtId="4" fontId="7" fillId="2" borderId="1" xfId="0" applyNumberFormat="1" applyFont="1" applyFill="1" applyBorder="1" applyAlignment="1" applyProtection="1">
      <alignment horizontal="center" vertical="center"/>
      <protection locked="0" hidden="1"/>
    </xf>
    <xf numFmtId="4" fontId="7" fillId="2" borderId="2" xfId="0" applyNumberFormat="1" applyFont="1" applyFill="1" applyBorder="1" applyAlignment="1" applyProtection="1">
      <alignment horizontal="center" vertical="center"/>
      <protection locked="0" hidden="1"/>
    </xf>
    <xf numFmtId="4" fontId="7" fillId="2" borderId="3" xfId="0" applyNumberFormat="1" applyFont="1" applyFill="1" applyBorder="1" applyAlignment="1" applyProtection="1">
      <alignment horizontal="center" vertical="center"/>
      <protection locked="0" hidden="1"/>
    </xf>
    <xf numFmtId="0" fontId="22" fillId="0" borderId="19"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cellXfs>
  <cellStyles count="6">
    <cellStyle name="%" xfId="3"/>
    <cellStyle name="Comma" xfId="5" builtinId="3"/>
    <cellStyle name="Normal" xfId="0" builtinId="0"/>
    <cellStyle name="Normal 2 2" xfId="4"/>
    <cellStyle name="Normal 3" xfId="1"/>
    <cellStyle name="Normal_Sheet1" xfId="2"/>
  </cellStyles>
  <dxfs count="0"/>
  <tableStyles count="0" defaultTableStyle="TableStyleMedium2" defaultPivotStyle="PivotStyleLight16"/>
  <colors>
    <mruColors>
      <color rgb="FFFF33CC"/>
      <color rgb="FF00FF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1714500</xdr:colOff>
      <xdr:row>2</xdr:row>
      <xdr:rowOff>225572</xdr:rowOff>
    </xdr:to>
    <xdr:pic>
      <xdr:nvPicPr>
        <xdr:cNvPr id="3" name="Picture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45" r="23750" b="51333"/>
        <a:stretch/>
      </xdr:blipFill>
      <xdr:spPr>
        <a:xfrm>
          <a:off x="0" y="0"/>
          <a:ext cx="1714500" cy="7018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19050</xdr:colOff>
      <xdr:row>3</xdr:row>
      <xdr:rowOff>130322</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45" r="23750" b="51333"/>
        <a:stretch/>
      </xdr:blipFill>
      <xdr:spPr>
        <a:xfrm>
          <a:off x="0" y="0"/>
          <a:ext cx="1714500" cy="7018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54036</xdr:rowOff>
    </xdr:from>
    <xdr:to>
      <xdr:col>2</xdr:col>
      <xdr:colOff>495300</xdr:colOff>
      <xdr:row>3</xdr:row>
      <xdr:rowOff>184358</xdr:rowOff>
    </xdr:to>
    <xdr:pic>
      <xdr:nvPicPr>
        <xdr:cNvPr id="3" name="Picture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45" r="23750" b="51333"/>
        <a:stretch/>
      </xdr:blipFill>
      <xdr:spPr>
        <a:xfrm>
          <a:off x="0" y="54036"/>
          <a:ext cx="1714500" cy="7018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topLeftCell="A4" workbookViewId="0">
      <selection activeCell="C32" sqref="C32"/>
    </sheetView>
  </sheetViews>
  <sheetFormatPr defaultRowHeight="15" x14ac:dyDescent="0.25"/>
  <cols>
    <col min="1" max="1" width="65.28515625" style="143" bestFit="1" customWidth="1"/>
    <col min="2" max="2" width="12.42578125" style="143" customWidth="1"/>
    <col min="3" max="3" width="115.140625" style="143" customWidth="1"/>
    <col min="4" max="16384" width="9.140625" style="143"/>
  </cols>
  <sheetData>
    <row r="1" spans="1:4" ht="18.75" x14ac:dyDescent="0.3">
      <c r="A1" s="26"/>
      <c r="B1"/>
      <c r="C1"/>
      <c r="D1"/>
    </row>
    <row r="2" spans="1:4" ht="18.75" x14ac:dyDescent="0.3">
      <c r="A2" s="26"/>
      <c r="B2"/>
      <c r="C2"/>
      <c r="D2"/>
    </row>
    <row r="3" spans="1:4" ht="18.75" x14ac:dyDescent="0.3">
      <c r="A3" s="26"/>
      <c r="B3"/>
      <c r="C3"/>
      <c r="D3"/>
    </row>
    <row r="4" spans="1:4" ht="18.75" x14ac:dyDescent="0.3">
      <c r="A4" s="26" t="s">
        <v>92</v>
      </c>
      <c r="B4"/>
      <c r="C4"/>
      <c r="D4"/>
    </row>
    <row r="5" spans="1:4" x14ac:dyDescent="0.25">
      <c r="A5" s="10"/>
      <c r="B5"/>
      <c r="C5"/>
      <c r="D5"/>
    </row>
    <row r="6" spans="1:4" ht="18.75" x14ac:dyDescent="0.3">
      <c r="A6" s="26" t="s">
        <v>7</v>
      </c>
      <c r="B6"/>
      <c r="C6"/>
      <c r="D6"/>
    </row>
    <row r="7" spans="1:4" x14ac:dyDescent="0.25">
      <c r="A7" s="10"/>
      <c r="B7"/>
      <c r="C7"/>
      <c r="D7"/>
    </row>
    <row r="8" spans="1:4" ht="30" customHeight="1" x14ac:dyDescent="0.25">
      <c r="A8" s="18"/>
      <c r="B8" s="21" t="s">
        <v>56</v>
      </c>
      <c r="C8" s="19"/>
      <c r="D8"/>
    </row>
    <row r="9" spans="1:4" x14ac:dyDescent="0.25">
      <c r="A9" s="160" t="s">
        <v>203</v>
      </c>
      <c r="B9" s="161" t="s">
        <v>54</v>
      </c>
      <c r="C9" s="157" t="s">
        <v>223</v>
      </c>
      <c r="D9"/>
    </row>
    <row r="10" spans="1:4" x14ac:dyDescent="0.25">
      <c r="A10" s="162" t="s">
        <v>230</v>
      </c>
      <c r="B10" s="163"/>
      <c r="C10" s="158"/>
      <c r="D10"/>
    </row>
    <row r="11" spans="1:4" x14ac:dyDescent="0.25">
      <c r="A11" s="162" t="s">
        <v>220</v>
      </c>
      <c r="B11" s="162"/>
      <c r="C11" s="164"/>
      <c r="D11"/>
    </row>
    <row r="12" spans="1:4" x14ac:dyDescent="0.25">
      <c r="A12" s="162" t="s">
        <v>221</v>
      </c>
      <c r="B12" s="162"/>
      <c r="C12" s="158"/>
      <c r="D12"/>
    </row>
    <row r="13" spans="1:4" x14ac:dyDescent="0.25">
      <c r="A13" s="165"/>
      <c r="B13" s="165"/>
      <c r="C13" s="159"/>
      <c r="D13"/>
    </row>
    <row r="14" spans="1:4" x14ac:dyDescent="0.25">
      <c r="A14" s="166" t="s">
        <v>224</v>
      </c>
      <c r="B14" s="167" t="s">
        <v>55</v>
      </c>
      <c r="C14" s="168" t="s">
        <v>207</v>
      </c>
      <c r="D14"/>
    </row>
    <row r="15" spans="1:4" x14ac:dyDescent="0.25">
      <c r="A15" s="169" t="s">
        <v>231</v>
      </c>
      <c r="B15" s="170"/>
      <c r="C15" s="171"/>
      <c r="D15"/>
    </row>
    <row r="16" spans="1:4" x14ac:dyDescent="0.25">
      <c r="A16" s="169"/>
      <c r="B16" s="170"/>
      <c r="C16" s="171"/>
      <c r="D16"/>
    </row>
    <row r="17" spans="1:5" x14ac:dyDescent="0.25">
      <c r="A17" s="172" t="s">
        <v>225</v>
      </c>
      <c r="B17" s="173" t="s">
        <v>59</v>
      </c>
      <c r="C17" s="174" t="s">
        <v>208</v>
      </c>
      <c r="D17"/>
    </row>
    <row r="18" spans="1:5" ht="30" x14ac:dyDescent="0.25">
      <c r="A18" s="175" t="s">
        <v>232</v>
      </c>
      <c r="B18" s="176"/>
      <c r="C18" s="177"/>
      <c r="D18"/>
    </row>
    <row r="19" spans="1:5" x14ac:dyDescent="0.25">
      <c r="A19" s="178"/>
      <c r="B19" s="179"/>
      <c r="C19" s="180"/>
      <c r="D19"/>
    </row>
    <row r="20" spans="1:5" ht="37.5" customHeight="1" x14ac:dyDescent="0.25">
      <c r="A20" s="181" t="s">
        <v>233</v>
      </c>
      <c r="B20" s="182" t="s">
        <v>209</v>
      </c>
      <c r="C20" s="183" t="s">
        <v>226</v>
      </c>
      <c r="D20"/>
    </row>
    <row r="21" spans="1:5" ht="33.75" customHeight="1" x14ac:dyDescent="0.25">
      <c r="A21" s="151" t="s">
        <v>211</v>
      </c>
      <c r="B21" s="152" t="s">
        <v>210</v>
      </c>
      <c r="C21" s="153" t="s">
        <v>212</v>
      </c>
      <c r="D21"/>
    </row>
    <row r="22" spans="1:5" x14ac:dyDescent="0.25">
      <c r="A22" s="22"/>
      <c r="B22" s="25"/>
      <c r="C22" s="11"/>
      <c r="D22"/>
    </row>
    <row r="23" spans="1:5" ht="18.75" x14ac:dyDescent="0.3">
      <c r="A23" s="27" t="s">
        <v>61</v>
      </c>
      <c r="B23" s="25"/>
      <c r="C23" s="12"/>
      <c r="D23"/>
    </row>
    <row r="24" spans="1:5" x14ac:dyDescent="0.25">
      <c r="A24" s="23"/>
      <c r="B24" s="24"/>
      <c r="C24" s="13"/>
      <c r="D24"/>
    </row>
    <row r="25" spans="1:5" x14ac:dyDescent="0.25">
      <c r="A25" s="20" t="s">
        <v>234</v>
      </c>
      <c r="B25" s="14" t="s">
        <v>214</v>
      </c>
      <c r="C25" s="17" t="s">
        <v>227</v>
      </c>
      <c r="D25"/>
      <c r="E25" s="150"/>
    </row>
    <row r="26" spans="1:5" x14ac:dyDescent="0.25">
      <c r="A26" s="15"/>
      <c r="B26" s="15"/>
      <c r="C26" s="15" t="s">
        <v>60</v>
      </c>
      <c r="D26"/>
      <c r="E26" s="150"/>
    </row>
    <row r="27" spans="1:5" x14ac:dyDescent="0.25">
      <c r="A27" s="16"/>
      <c r="B27" s="16"/>
      <c r="C27" s="16" t="s">
        <v>215</v>
      </c>
      <c r="D27"/>
      <c r="E27" s="150"/>
    </row>
    <row r="28" spans="1:5" x14ac:dyDescent="0.25">
      <c r="A28" s="20" t="s">
        <v>235</v>
      </c>
      <c r="B28" s="14" t="s">
        <v>216</v>
      </c>
      <c r="C28" s="17" t="s">
        <v>228</v>
      </c>
      <c r="D28"/>
    </row>
    <row r="29" spans="1:5" x14ac:dyDescent="0.25">
      <c r="A29" s="16"/>
      <c r="B29" s="16"/>
      <c r="C29" s="16"/>
      <c r="D29"/>
    </row>
    <row r="30" spans="1:5" x14ac:dyDescent="0.25">
      <c r="A30" s="20" t="s">
        <v>236</v>
      </c>
      <c r="B30" s="14" t="s">
        <v>217</v>
      </c>
      <c r="C30" s="17" t="s">
        <v>102</v>
      </c>
      <c r="D30"/>
    </row>
    <row r="31" spans="1:5" x14ac:dyDescent="0.25">
      <c r="A31" s="16"/>
      <c r="B31" s="16"/>
      <c r="C31" s="16"/>
      <c r="D31"/>
    </row>
    <row r="32" spans="1:5" ht="29.25" customHeight="1" x14ac:dyDescent="0.25">
      <c r="A32" s="154" t="s">
        <v>222</v>
      </c>
      <c r="B32" s="155"/>
      <c r="C32" s="155" t="s">
        <v>229</v>
      </c>
      <c r="D32"/>
    </row>
    <row r="33" spans="1:4" x14ac:dyDescent="0.25">
      <c r="A33"/>
      <c r="B33"/>
      <c r="C33"/>
      <c r="D33"/>
    </row>
    <row r="34" spans="1:4" ht="18.75" x14ac:dyDescent="0.3">
      <c r="A34" s="26" t="s">
        <v>213</v>
      </c>
      <c r="B34"/>
      <c r="C34"/>
      <c r="D34"/>
    </row>
    <row r="35" spans="1:4" x14ac:dyDescent="0.25">
      <c r="A35"/>
      <c r="B35"/>
      <c r="C35"/>
      <c r="D35"/>
    </row>
    <row r="36" spans="1:4" x14ac:dyDescent="0.25">
      <c r="A36" s="160" t="s">
        <v>203</v>
      </c>
      <c r="B36" s="156" t="s">
        <v>219</v>
      </c>
      <c r="C36" s="157" t="s">
        <v>237</v>
      </c>
      <c r="D36"/>
    </row>
    <row r="37" spans="1:4" x14ac:dyDescent="0.25">
      <c r="A37" s="162" t="s">
        <v>230</v>
      </c>
      <c r="B37" s="158"/>
      <c r="C37" s="158" t="s">
        <v>57</v>
      </c>
      <c r="D37"/>
    </row>
    <row r="38" spans="1:4" ht="30" x14ac:dyDescent="0.25">
      <c r="A38" s="162"/>
      <c r="B38" s="158"/>
      <c r="C38" s="164" t="s">
        <v>238</v>
      </c>
      <c r="D38"/>
    </row>
    <row r="39" spans="1:4" x14ac:dyDescent="0.25">
      <c r="A39" s="162"/>
      <c r="B39" s="158"/>
      <c r="C39" s="158" t="s">
        <v>205</v>
      </c>
      <c r="D39"/>
    </row>
    <row r="40" spans="1:4" x14ac:dyDescent="0.25">
      <c r="A40" s="162"/>
      <c r="B40" s="158"/>
      <c r="C40" s="158" t="s">
        <v>58</v>
      </c>
      <c r="D40"/>
    </row>
    <row r="41" spans="1:4" x14ac:dyDescent="0.25">
      <c r="A41" s="159"/>
      <c r="B41" s="159"/>
      <c r="C41" s="159" t="s">
        <v>204</v>
      </c>
      <c r="D41"/>
    </row>
    <row r="42" spans="1:4" x14ac:dyDescent="0.25">
      <c r="A42"/>
      <c r="B42"/>
      <c r="C42"/>
      <c r="D42"/>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29"/>
  <sheetViews>
    <sheetView showGridLines="0" tabSelected="1" workbookViewId="0">
      <selection activeCell="A17" sqref="A17"/>
    </sheetView>
  </sheetViews>
  <sheetFormatPr defaultRowHeight="15" x14ac:dyDescent="0.25"/>
  <cols>
    <col min="1" max="1" width="15.140625" style="143" customWidth="1"/>
    <col min="2" max="2" width="10.28515625" style="143" bestFit="1" customWidth="1"/>
    <col min="3" max="3" width="9.28515625" style="143" bestFit="1" customWidth="1"/>
    <col min="4" max="4" width="11.5703125" style="143" bestFit="1" customWidth="1"/>
    <col min="5" max="5" width="17.42578125" style="143" customWidth="1"/>
    <col min="6" max="6" width="24.140625" style="143" customWidth="1"/>
    <col min="7" max="7" width="34.28515625" style="143" bestFit="1" customWidth="1"/>
    <col min="8" max="8" width="11" style="143" customWidth="1"/>
    <col min="9" max="9" width="2.7109375" style="143" customWidth="1"/>
    <col min="10" max="10" width="11" style="143" customWidth="1"/>
    <col min="11" max="11" width="2.7109375" style="143" customWidth="1"/>
    <col min="12" max="12" width="11" style="143" customWidth="1"/>
    <col min="13" max="13" width="2.7109375" style="143" customWidth="1"/>
    <col min="14" max="14" width="11" style="143" customWidth="1"/>
    <col min="15" max="15" width="2.7109375" style="143" customWidth="1"/>
    <col min="16" max="16" width="11" style="143" customWidth="1"/>
    <col min="17" max="17" width="2.7109375" style="143" customWidth="1"/>
    <col min="18" max="18" width="9.28515625" style="143" bestFit="1" customWidth="1"/>
    <col min="19" max="19" width="2.7109375" style="143" customWidth="1"/>
    <col min="20" max="20" width="9.28515625" style="143" bestFit="1" customWidth="1"/>
    <col min="21" max="21" width="2.7109375" style="143" customWidth="1"/>
    <col min="22" max="22" width="9.28515625" style="143" bestFit="1" customWidth="1"/>
    <col min="23" max="23" width="2.7109375" style="143" customWidth="1"/>
    <col min="24" max="24" width="10.5703125" style="143" customWidth="1"/>
    <col min="25" max="25" width="2.7109375" style="143" customWidth="1"/>
    <col min="26" max="26" width="10.5703125" style="143" customWidth="1"/>
    <col min="27" max="27" width="2.5703125" style="143" customWidth="1"/>
    <col min="28" max="28" width="13.28515625" style="143" customWidth="1"/>
    <col min="29" max="29" width="2.7109375" style="143" customWidth="1"/>
    <col min="30" max="30" width="9.7109375" style="143" customWidth="1"/>
    <col min="31" max="31" width="2.7109375" style="143" customWidth="1"/>
    <col min="32" max="32" width="9.7109375" style="143" customWidth="1"/>
    <col min="33" max="33" width="2.7109375" style="143" customWidth="1"/>
    <col min="34" max="34" width="9.7109375" style="143" customWidth="1"/>
    <col min="35" max="35" width="2.7109375" style="143" customWidth="1"/>
    <col min="36" max="36" width="9.7109375" style="143" customWidth="1"/>
    <col min="37" max="37" width="2.7109375" style="143" customWidth="1"/>
    <col min="38" max="38" width="9.7109375" style="143" customWidth="1"/>
    <col min="39" max="39" width="2.7109375" style="143" customWidth="1"/>
    <col min="40" max="40" width="9.7109375" style="143" customWidth="1"/>
    <col min="41" max="41" width="2.7109375" style="143" customWidth="1"/>
    <col min="42" max="42" width="9.7109375" style="143" customWidth="1"/>
    <col min="43" max="43" width="2.7109375" style="143" customWidth="1"/>
    <col min="44" max="44" width="9.7109375" style="143" customWidth="1"/>
    <col min="45" max="45" width="2.5703125" style="143" customWidth="1"/>
    <col min="46" max="46" width="9.7109375" style="143" customWidth="1"/>
    <col min="47" max="47" width="2.7109375" style="143" customWidth="1"/>
    <col min="48" max="48" width="2.5703125" style="143" customWidth="1"/>
    <col min="49" max="49" width="11" style="143" customWidth="1"/>
    <col min="50" max="50" width="2.7109375" style="143" customWidth="1"/>
    <col min="51" max="51" width="11" style="143" customWidth="1"/>
    <col min="52" max="52" width="2.7109375" style="143" customWidth="1"/>
    <col min="53" max="53" width="11" style="143" customWidth="1"/>
    <col min="54" max="54" width="2.7109375" style="143" customWidth="1"/>
    <col min="55" max="55" width="11" style="143" customWidth="1"/>
    <col min="56" max="16384" width="9.140625" style="143"/>
  </cols>
  <sheetData>
    <row r="1" spans="1:56" s="186" customFormat="1" x14ac:dyDescent="0.25">
      <c r="A1" s="269"/>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69"/>
      <c r="AO1" s="269"/>
      <c r="AP1" s="269"/>
      <c r="AQ1" s="269"/>
      <c r="AR1" s="269"/>
      <c r="AS1" s="269"/>
      <c r="AT1" s="269"/>
      <c r="AU1" s="269"/>
      <c r="AV1" s="269"/>
      <c r="AW1" s="269"/>
      <c r="AX1" s="269"/>
      <c r="AY1" s="269"/>
      <c r="AZ1" s="269"/>
      <c r="BA1" s="269"/>
      <c r="BB1" s="269"/>
      <c r="BC1" s="269"/>
      <c r="BD1" s="269"/>
    </row>
    <row r="2" spans="1:56" s="186" customFormat="1" x14ac:dyDescent="0.25">
      <c r="A2" s="269"/>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AT2" s="269"/>
      <c r="AU2" s="269"/>
      <c r="AV2" s="269"/>
      <c r="AW2" s="269"/>
      <c r="AX2" s="269"/>
      <c r="AY2" s="269"/>
      <c r="AZ2" s="269"/>
      <c r="BA2" s="269"/>
      <c r="BB2" s="269"/>
      <c r="BC2" s="269"/>
      <c r="BD2" s="269"/>
    </row>
    <row r="3" spans="1:56" s="186" customFormat="1" x14ac:dyDescent="0.25">
      <c r="A3" s="269"/>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269"/>
      <c r="AQ3" s="269"/>
      <c r="AR3" s="269"/>
      <c r="AS3" s="269"/>
      <c r="AT3" s="269"/>
      <c r="AU3" s="269"/>
      <c r="AV3" s="269"/>
      <c r="AW3" s="269"/>
      <c r="AX3" s="269"/>
      <c r="AY3" s="269"/>
      <c r="AZ3" s="269"/>
      <c r="BA3" s="269"/>
      <c r="BB3" s="269"/>
      <c r="BC3" s="269"/>
      <c r="BD3" s="269"/>
    </row>
    <row r="4" spans="1:56" s="186" customFormat="1" x14ac:dyDescent="0.25">
      <c r="A4" s="269"/>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269"/>
      <c r="AP4" s="269"/>
      <c r="AQ4" s="269"/>
      <c r="AR4" s="269"/>
      <c r="AS4" s="269"/>
      <c r="AT4" s="269"/>
      <c r="AU4" s="269"/>
      <c r="AV4" s="269"/>
      <c r="AW4" s="269"/>
      <c r="AX4" s="269"/>
      <c r="AY4" s="269"/>
      <c r="AZ4" s="269"/>
      <c r="BA4" s="269"/>
      <c r="BB4" s="269"/>
      <c r="BC4" s="269"/>
      <c r="BD4" s="269"/>
    </row>
    <row r="5" spans="1:56" s="186" customFormat="1" x14ac:dyDescent="0.25">
      <c r="A5" s="270" t="s">
        <v>93</v>
      </c>
      <c r="B5" s="185"/>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5"/>
      <c r="AV5" s="185"/>
      <c r="AW5" s="185"/>
      <c r="AX5" s="185"/>
      <c r="AY5" s="185"/>
      <c r="AZ5" s="185"/>
      <c r="BA5" s="185"/>
      <c r="BB5" s="185"/>
      <c r="BC5" s="185"/>
      <c r="BD5" s="185"/>
    </row>
    <row r="6" spans="1:56" s="186" customFormat="1" ht="15.75" x14ac:dyDescent="0.25">
      <c r="A6" s="271"/>
      <c r="B6" s="185"/>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row>
    <row r="7" spans="1:56" s="186" customFormat="1" x14ac:dyDescent="0.25">
      <c r="A7" s="272" t="s">
        <v>1</v>
      </c>
      <c r="B7" s="185"/>
      <c r="C7" s="185"/>
      <c r="D7" s="185"/>
      <c r="E7" s="185"/>
      <c r="F7" s="185"/>
      <c r="G7" s="18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row>
    <row r="8" spans="1:56" s="186" customFormat="1" x14ac:dyDescent="0.25">
      <c r="A8" s="272" t="s">
        <v>2</v>
      </c>
      <c r="B8" s="185"/>
      <c r="C8" s="185"/>
      <c r="D8" s="185"/>
      <c r="E8" s="185"/>
      <c r="F8" s="185"/>
      <c r="G8" s="185"/>
      <c r="H8" s="185"/>
      <c r="I8" s="185"/>
      <c r="J8" s="185"/>
      <c r="K8" s="185"/>
      <c r="L8" s="185"/>
      <c r="M8" s="185"/>
      <c r="N8" s="185"/>
      <c r="O8" s="185"/>
      <c r="P8" s="185"/>
      <c r="Q8" s="185"/>
      <c r="R8" s="185"/>
      <c r="S8" s="185"/>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B8" s="185"/>
      <c r="BC8" s="185"/>
      <c r="BD8" s="185"/>
    </row>
    <row r="9" spans="1:56" s="186" customFormat="1" x14ac:dyDescent="0.25">
      <c r="A9" s="272" t="s">
        <v>4</v>
      </c>
      <c r="B9" s="185"/>
      <c r="C9" s="185"/>
      <c r="D9" s="185"/>
      <c r="E9" s="185"/>
      <c r="F9" s="185"/>
      <c r="G9" s="185"/>
      <c r="H9" s="185"/>
      <c r="I9" s="185"/>
      <c r="J9" s="185"/>
      <c r="K9" s="185"/>
      <c r="L9" s="185"/>
      <c r="M9" s="185"/>
      <c r="N9" s="185"/>
      <c r="O9" s="185"/>
      <c r="P9" s="185"/>
      <c r="Q9" s="185"/>
      <c r="R9" s="185"/>
      <c r="S9" s="185"/>
      <c r="T9" s="185"/>
      <c r="U9" s="185"/>
      <c r="V9" s="185"/>
      <c r="W9" s="185"/>
      <c r="X9" s="185"/>
      <c r="Y9" s="185"/>
      <c r="Z9" s="185"/>
      <c r="AA9" s="185"/>
      <c r="AB9" s="185"/>
      <c r="AC9" s="185"/>
      <c r="AD9" s="185"/>
      <c r="AE9" s="185"/>
      <c r="AF9" s="185"/>
      <c r="AG9" s="185"/>
      <c r="AH9" s="185"/>
      <c r="AI9" s="185"/>
      <c r="AJ9" s="185"/>
      <c r="AK9" s="185"/>
      <c r="AL9" s="185"/>
      <c r="AM9" s="185"/>
      <c r="AN9" s="185"/>
      <c r="AO9" s="185"/>
      <c r="AP9" s="185"/>
      <c r="AQ9" s="185"/>
      <c r="AR9" s="185"/>
      <c r="AS9" s="185"/>
      <c r="AT9" s="185"/>
      <c r="AU9" s="185"/>
      <c r="AV9" s="185"/>
      <c r="AW9" s="185"/>
      <c r="AX9" s="185"/>
      <c r="AY9" s="185"/>
      <c r="AZ9" s="185"/>
      <c r="BA9" s="185"/>
      <c r="BB9" s="185"/>
      <c r="BC9" s="185"/>
      <c r="BD9" s="185"/>
    </row>
    <row r="10" spans="1:56" s="186" customFormat="1" x14ac:dyDescent="0.25">
      <c r="A10" s="273" t="s">
        <v>94</v>
      </c>
      <c r="B10" s="185"/>
      <c r="C10" s="185"/>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5"/>
      <c r="AZ10" s="185"/>
      <c r="BA10" s="185"/>
      <c r="BB10" s="185"/>
      <c r="BC10" s="185"/>
      <c r="BD10" s="185"/>
    </row>
    <row r="11" spans="1:56" s="186" customFormat="1" x14ac:dyDescent="0.25">
      <c r="A11" s="273" t="s">
        <v>95</v>
      </c>
      <c r="B11" s="185"/>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5"/>
      <c r="AX11" s="185"/>
      <c r="AY11" s="185"/>
      <c r="AZ11" s="185"/>
      <c r="BA11" s="185"/>
      <c r="BB11" s="185"/>
      <c r="BC11" s="185"/>
      <c r="BD11" s="185"/>
    </row>
    <row r="12" spans="1:56" s="186" customFormat="1" x14ac:dyDescent="0.25">
      <c r="A12" s="273" t="s">
        <v>5</v>
      </c>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185"/>
      <c r="AY12" s="185"/>
      <c r="AZ12" s="185"/>
      <c r="BA12" s="185"/>
      <c r="BB12" s="185"/>
      <c r="BC12" s="185"/>
      <c r="BD12" s="185"/>
    </row>
    <row r="13" spans="1:56" s="186" customFormat="1" x14ac:dyDescent="0.25">
      <c r="A13" s="273" t="s">
        <v>96</v>
      </c>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5"/>
      <c r="AV13" s="185"/>
      <c r="AW13" s="185"/>
      <c r="AX13" s="185"/>
      <c r="AY13" s="185"/>
      <c r="AZ13" s="185"/>
      <c r="BA13" s="185"/>
      <c r="BB13" s="185"/>
      <c r="BC13" s="185"/>
      <c r="BD13" s="185"/>
    </row>
    <row r="14" spans="1:56" s="186" customFormat="1" x14ac:dyDescent="0.25">
      <c r="A14" s="273" t="s">
        <v>97</v>
      </c>
      <c r="B14" s="185"/>
      <c r="C14" s="185"/>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5"/>
      <c r="AM14" s="185"/>
      <c r="AN14" s="185"/>
      <c r="AO14" s="185"/>
      <c r="AP14" s="185"/>
      <c r="AQ14" s="185"/>
      <c r="AR14" s="185"/>
      <c r="AS14" s="185"/>
      <c r="AT14" s="185"/>
      <c r="AU14" s="185"/>
      <c r="AV14" s="185"/>
      <c r="AW14" s="185"/>
      <c r="AX14" s="185"/>
      <c r="AY14" s="185"/>
      <c r="AZ14" s="185"/>
      <c r="BA14" s="185"/>
      <c r="BB14" s="185"/>
      <c r="BC14" s="185"/>
      <c r="BD14" s="185"/>
    </row>
    <row r="15" spans="1:56" s="186" customFormat="1" x14ac:dyDescent="0.25">
      <c r="A15" s="273" t="s">
        <v>98</v>
      </c>
      <c r="B15" s="185"/>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c r="AR15" s="185"/>
      <c r="AS15" s="185"/>
      <c r="AT15" s="185"/>
      <c r="AU15" s="185"/>
      <c r="AV15" s="185"/>
      <c r="AW15" s="185"/>
      <c r="AX15" s="185"/>
      <c r="AY15" s="185"/>
      <c r="AZ15" s="185"/>
      <c r="BA15" s="185"/>
      <c r="BB15" s="185"/>
      <c r="BC15" s="185"/>
      <c r="BD15" s="185"/>
    </row>
    <row r="16" spans="1:56" s="186" customFormat="1" x14ac:dyDescent="0.25">
      <c r="A16" s="185"/>
      <c r="B16" s="185"/>
      <c r="C16" s="185"/>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c r="AK16" s="185"/>
      <c r="AL16" s="185"/>
      <c r="AM16" s="185"/>
      <c r="AN16" s="185"/>
      <c r="AO16" s="185"/>
      <c r="AP16" s="185"/>
      <c r="AQ16" s="185"/>
      <c r="AR16" s="185"/>
      <c r="AS16" s="185"/>
      <c r="AT16" s="185"/>
      <c r="AU16" s="185"/>
      <c r="AV16" s="185"/>
      <c r="AW16" s="185"/>
      <c r="AX16" s="185"/>
      <c r="AY16" s="185"/>
      <c r="AZ16" s="185"/>
      <c r="BA16" s="185"/>
      <c r="BB16" s="185"/>
      <c r="BC16" s="185"/>
      <c r="BD16" s="185"/>
    </row>
    <row r="17" spans="1:56" s="186" customFormat="1" ht="15.75" x14ac:dyDescent="0.25">
      <c r="A17" s="274" t="s">
        <v>194</v>
      </c>
      <c r="B17" s="274"/>
      <c r="C17" s="185"/>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5"/>
      <c r="AM17" s="185"/>
      <c r="AN17" s="185"/>
      <c r="AO17" s="185"/>
      <c r="AP17" s="185"/>
      <c r="AQ17" s="185"/>
      <c r="AR17" s="185"/>
      <c r="AS17" s="185"/>
      <c r="AT17" s="185"/>
      <c r="AU17" s="185"/>
      <c r="AV17" s="185"/>
      <c r="AW17" s="185"/>
      <c r="AX17" s="185"/>
      <c r="AY17" s="185"/>
      <c r="AZ17" s="185"/>
      <c r="BA17" s="185"/>
      <c r="BB17" s="185"/>
      <c r="BC17" s="185"/>
      <c r="BD17" s="185"/>
    </row>
    <row r="18" spans="1:56" s="186" customFormat="1" ht="15.75" x14ac:dyDescent="0.25">
      <c r="A18" s="184"/>
      <c r="B18" s="274"/>
      <c r="C18" s="185"/>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5"/>
      <c r="BA18" s="185"/>
      <c r="BB18" s="185"/>
      <c r="BC18" s="185"/>
      <c r="BD18" s="185"/>
    </row>
    <row r="19" spans="1:56" s="186" customFormat="1" x14ac:dyDescent="0.25">
      <c r="A19" s="185"/>
      <c r="B19" s="185"/>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5"/>
      <c r="BA19" s="185"/>
      <c r="BB19" s="185"/>
      <c r="BC19" s="185"/>
      <c r="BD19" s="185"/>
    </row>
    <row r="20" spans="1:56" s="190" customFormat="1" x14ac:dyDescent="0.25">
      <c r="A20" s="275" t="s">
        <v>6</v>
      </c>
      <c r="B20" s="276"/>
      <c r="C20" s="276"/>
      <c r="D20" s="276"/>
      <c r="E20" s="276"/>
      <c r="F20" s="276"/>
      <c r="G20" s="277"/>
      <c r="H20" s="278" t="s">
        <v>7</v>
      </c>
      <c r="I20" s="279"/>
      <c r="J20" s="279"/>
      <c r="K20" s="279"/>
      <c r="L20" s="279"/>
      <c r="M20" s="279"/>
      <c r="N20" s="279"/>
      <c r="O20" s="279"/>
      <c r="P20" s="280"/>
      <c r="Q20" s="275" t="s">
        <v>8</v>
      </c>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276"/>
      <c r="AP20" s="276"/>
      <c r="AQ20" s="276"/>
      <c r="AR20" s="276"/>
      <c r="AS20" s="276"/>
      <c r="AT20" s="276"/>
      <c r="AU20" s="276"/>
      <c r="AV20" s="275" t="s">
        <v>53</v>
      </c>
      <c r="AW20" s="276"/>
      <c r="AX20" s="276"/>
      <c r="AY20" s="276"/>
      <c r="AZ20" s="276"/>
      <c r="BA20" s="276"/>
      <c r="BB20" s="276"/>
      <c r="BC20" s="277"/>
      <c r="BD20" s="189"/>
    </row>
    <row r="21" spans="1:56" s="190" customFormat="1" ht="112.5" x14ac:dyDescent="0.25">
      <c r="A21" s="191"/>
      <c r="B21" s="192"/>
      <c r="C21" s="192"/>
      <c r="D21" s="192"/>
      <c r="E21" s="192"/>
      <c r="F21" s="192"/>
      <c r="G21" s="193"/>
      <c r="H21" s="194" t="s">
        <v>99</v>
      </c>
      <c r="I21" s="195"/>
      <c r="J21" s="196" t="s">
        <v>195</v>
      </c>
      <c r="K21" s="197"/>
      <c r="L21" s="198" t="s">
        <v>101</v>
      </c>
      <c r="M21" s="199"/>
      <c r="N21" s="200" t="s">
        <v>196</v>
      </c>
      <c r="O21" s="201"/>
      <c r="P21" s="202" t="s">
        <v>103</v>
      </c>
      <c r="Q21" s="203"/>
      <c r="R21" s="204" t="s">
        <v>104</v>
      </c>
      <c r="S21" s="205"/>
      <c r="T21" s="204" t="s">
        <v>105</v>
      </c>
      <c r="U21" s="205"/>
      <c r="V21" s="204" t="s">
        <v>106</v>
      </c>
      <c r="W21" s="206"/>
      <c r="X21" s="204" t="s">
        <v>107</v>
      </c>
      <c r="Y21" s="204"/>
      <c r="Z21" s="204" t="s">
        <v>108</v>
      </c>
      <c r="AA21" s="204"/>
      <c r="AB21" s="204" t="s">
        <v>109</v>
      </c>
      <c r="AC21" s="204"/>
      <c r="AD21" s="207" t="s">
        <v>110</v>
      </c>
      <c r="AE21" s="208"/>
      <c r="AF21" s="207" t="s">
        <v>111</v>
      </c>
      <c r="AG21" s="209"/>
      <c r="AH21" s="210" t="s">
        <v>112</v>
      </c>
      <c r="AI21" s="211"/>
      <c r="AJ21" s="207" t="s">
        <v>113</v>
      </c>
      <c r="AK21" s="208"/>
      <c r="AL21" s="207" t="s">
        <v>114</v>
      </c>
      <c r="AM21" s="209"/>
      <c r="AN21" s="210" t="s">
        <v>115</v>
      </c>
      <c r="AO21" s="209"/>
      <c r="AP21" s="207" t="s">
        <v>116</v>
      </c>
      <c r="AQ21" s="209"/>
      <c r="AR21" s="212" t="s">
        <v>117</v>
      </c>
      <c r="AS21" s="213"/>
      <c r="AT21" s="214" t="s">
        <v>206</v>
      </c>
      <c r="AU21" s="206"/>
      <c r="AV21" s="215"/>
      <c r="AW21" s="216" t="s">
        <v>119</v>
      </c>
      <c r="AX21" s="216"/>
      <c r="AY21" s="216" t="s">
        <v>121</v>
      </c>
      <c r="AZ21" s="216"/>
      <c r="BA21" s="216" t="s">
        <v>120</v>
      </c>
      <c r="BB21" s="217"/>
      <c r="BC21" s="218" t="s">
        <v>118</v>
      </c>
      <c r="BD21" s="189"/>
    </row>
    <row r="22" spans="1:56" s="235" customFormat="1" ht="24.75" customHeight="1" x14ac:dyDescent="0.25">
      <c r="A22" s="219"/>
      <c r="B22" s="220" t="e">
        <f>VLOOKUP($A$18,'Latest data'!$C$15:$F$52,4,FALSE)</f>
        <v>#N/A</v>
      </c>
      <c r="C22" s="220" t="e">
        <f>VLOOKUP($A$18,'Latest data'!$C$15:$F$52,2,FALSE)</f>
        <v>#N/A</v>
      </c>
      <c r="D22" s="220" t="s">
        <v>9</v>
      </c>
      <c r="E22" s="220" t="e">
        <f>VLOOKUP($A$18,'Latest data'!$C$15:$I$52,6,FALSE)</f>
        <v>#N/A</v>
      </c>
      <c r="F22" s="220" t="e">
        <f>VLOOKUP($A$18,'Latest data'!$C$15:$I$52,7,FALSE)</f>
        <v>#N/A</v>
      </c>
      <c r="G22" s="221" t="e">
        <f>VLOOKUP($A$18,'Latest data'!$C$15:$I$52,5,FALSE)</f>
        <v>#N/A</v>
      </c>
      <c r="H22" s="222">
        <f>SUMIF('Latest data'!$F$15:$F$52,'Latest UIFSM Update'!$B$22,'Latest data'!J$15:J$52)</f>
        <v>0</v>
      </c>
      <c r="I22" s="223"/>
      <c r="J22" s="224">
        <f>SUMIF('Latest data'!$F$15:$F$52,'Latest UIFSM Update'!$B$22,'Latest data'!L$15:L$52)</f>
        <v>0</v>
      </c>
      <c r="K22" s="223"/>
      <c r="L22" s="225">
        <f>SUMIF('Latest data'!$F$15:$F$52,'Latest UIFSM Update'!$B$22,'Latest data'!N$15:N$52)</f>
        <v>0</v>
      </c>
      <c r="M22" s="223"/>
      <c r="N22" s="226">
        <f>SUMIF('Latest data'!$F$15:$F$52,'Latest UIFSM Update'!$B$22,'Latest data'!P$15:P$52)</f>
        <v>0</v>
      </c>
      <c r="O22" s="227"/>
      <c r="P22" s="228">
        <f>SUMIF('Latest data'!$F$15:$F$52,'Latest UIFSM Update'!$B$22,'Latest data'!R$15:R$52)</f>
        <v>0</v>
      </c>
      <c r="Q22" s="219"/>
      <c r="R22" s="220">
        <f>SUMIF('Latest data'!$F$15:$F$52,'Latest UIFSM Update'!$B$22,'Latest data'!T$15:T$52)</f>
        <v>0</v>
      </c>
      <c r="S22" s="220"/>
      <c r="T22" s="220">
        <f>SUMIF('Latest data'!$F$15:$F$52,'Latest UIFSM Update'!$B$22,'Latest data'!V$15:V$52)</f>
        <v>0</v>
      </c>
      <c r="U22" s="220"/>
      <c r="V22" s="220">
        <f>SUMIF('Latest data'!$F$15:$F$52,'Latest UIFSM Update'!$B$22,'Latest data'!X$15:X$52)</f>
        <v>0</v>
      </c>
      <c r="W22" s="220"/>
      <c r="X22" s="220">
        <f>SUMIF('Latest data'!$F$15:$F$52,'Latest UIFSM Update'!$B$22,'Latest data'!Z$15:Z$52)</f>
        <v>0</v>
      </c>
      <c r="Y22" s="220"/>
      <c r="Z22" s="220">
        <f>SUMIF('Latest data'!$F$15:$F$52,'Latest UIFSM Update'!$B$22,'Latest data'!AB$15:AB$52)</f>
        <v>0</v>
      </c>
      <c r="AA22" s="220"/>
      <c r="AB22" s="220">
        <f>SUMIF('Latest data'!$F$15:$F$52,'Latest UIFSM Update'!$B$22,'Latest data'!AD$15:AD$52)</f>
        <v>0</v>
      </c>
      <c r="AC22" s="220"/>
      <c r="AD22" s="220">
        <f>SUMIF('Latest data'!$F$15:$F$52,'Latest UIFSM Update'!$B$22,'Latest data'!AF$15:AF$52)</f>
        <v>0</v>
      </c>
      <c r="AE22" s="220"/>
      <c r="AF22" s="220">
        <f>SUMIF('Latest data'!$F$15:$F$52,'Latest UIFSM Update'!$B$22,'Latest data'!AH$15:AH$52)</f>
        <v>0</v>
      </c>
      <c r="AG22" s="220"/>
      <c r="AH22" s="220">
        <f>SUMIF('Latest data'!$F$15:$F$52,'Latest UIFSM Update'!$B$22,'Latest data'!AJ$15:AJ$52)</f>
        <v>0</v>
      </c>
      <c r="AI22" s="220"/>
      <c r="AJ22" s="220">
        <f>SUMIF('Latest data'!$F$15:$F$52,'Latest UIFSM Update'!$B$22,'Latest data'!AL$15:AL$52)</f>
        <v>0</v>
      </c>
      <c r="AK22" s="220"/>
      <c r="AL22" s="220">
        <f>SUMIF('Latest data'!$F$15:$F$52,'Latest UIFSM Update'!$B$22,'Latest data'!AN$15:AN$52)</f>
        <v>0</v>
      </c>
      <c r="AM22" s="220"/>
      <c r="AN22" s="220">
        <f>SUMIF('Latest data'!$F$15:$F$52,'Latest UIFSM Update'!$B$22,'Latest data'!AP$15:AP$52)</f>
        <v>0</v>
      </c>
      <c r="AO22" s="220"/>
      <c r="AP22" s="220">
        <f>SUMIF('Latest data'!$F$15:$F$52,'Latest UIFSM Update'!$B$22,'Latest data'!AR$15:AR$52)</f>
        <v>0</v>
      </c>
      <c r="AQ22" s="220"/>
      <c r="AR22" s="229">
        <f>SUMIF('Latest data'!$F$15:$F$52,'Latest UIFSM Update'!$B$22,'Latest data'!AT$15:AT$52)</f>
        <v>0</v>
      </c>
      <c r="AS22" s="229"/>
      <c r="AT22" s="230">
        <f>SUMIF('Latest data'!$F$15:$F$52,'Latest UIFSM Update'!$B$22,'Latest data'!AV$15:AV$52)</f>
        <v>0</v>
      </c>
      <c r="AU22" s="220"/>
      <c r="AV22" s="231"/>
      <c r="AW22" s="232">
        <f>SUMIF('Latest data'!$F$15:$F$52,'Latest UIFSM Update'!$B$22,'Latest data'!AY$15:AY$52)</f>
        <v>0</v>
      </c>
      <c r="AX22" s="232"/>
      <c r="AY22" s="232">
        <f>SUMIF('Latest data'!$F$15:$F$52,'Latest UIFSM Update'!$B$22,'Latest data'!BA$15:BA$52)</f>
        <v>0</v>
      </c>
      <c r="AZ22" s="232"/>
      <c r="BA22" s="232">
        <f>SUMIF('Latest data'!$F$15:$F$52,'Latest UIFSM Update'!$B$22,'Latest data'!BC$15:BC$52)</f>
        <v>0</v>
      </c>
      <c r="BB22" s="232"/>
      <c r="BC22" s="233">
        <f>SUMIF('Latest data'!$F$15:$F$52,'Latest UIFSM Update'!$B$22,'Latest data'!BE$15:BE$52)</f>
        <v>0</v>
      </c>
      <c r="BD22" s="234"/>
    </row>
    <row r="23" spans="1:56" s="190" customFormat="1" x14ac:dyDescent="0.25">
      <c r="A23" s="189"/>
      <c r="B23" s="189"/>
      <c r="C23" s="189"/>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189"/>
      <c r="AP23" s="189"/>
      <c r="AQ23" s="189"/>
      <c r="AR23" s="189"/>
      <c r="AS23" s="189"/>
      <c r="AT23" s="189"/>
      <c r="AU23" s="189"/>
      <c r="AV23" s="189"/>
      <c r="AW23" s="189"/>
      <c r="AX23" s="189"/>
      <c r="AY23" s="189"/>
      <c r="AZ23" s="189"/>
      <c r="BA23" s="189"/>
      <c r="BB23" s="189"/>
      <c r="BC23" s="189"/>
      <c r="BD23" s="189"/>
    </row>
    <row r="24" spans="1:56" s="188" customFormat="1" x14ac:dyDescent="0.25"/>
    <row r="25" spans="1:56" s="186" customFormat="1" x14ac:dyDescent="0.25"/>
    <row r="29" spans="1:56" x14ac:dyDescent="0.25">
      <c r="J29" s="149"/>
    </row>
  </sheetData>
  <sheetProtection password="A9E8" sheet="1" objects="1" scenarios="1"/>
  <mergeCells count="4">
    <mergeCell ref="A20:G20"/>
    <mergeCell ref="H20:P20"/>
    <mergeCell ref="Q20:AU20"/>
    <mergeCell ref="AV20:BC20"/>
  </mergeCells>
  <pageMargins left="0.25" right="0.25" top="0.75" bottom="0.75" header="0.3" footer="0.3"/>
  <pageSetup paperSize="8" scale="6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4"/>
  <sheetViews>
    <sheetView workbookViewId="0">
      <selection activeCell="G14" sqref="G14"/>
    </sheetView>
  </sheetViews>
  <sheetFormatPr defaultRowHeight="15" x14ac:dyDescent="0.25"/>
  <cols>
    <col min="7" max="7" width="36.85546875" bestFit="1" customWidth="1"/>
    <col min="9" max="9" width="19.28515625" bestFit="1" customWidth="1"/>
    <col min="10" max="10" width="10.42578125" bestFit="1" customWidth="1"/>
    <col min="12" max="12" width="11.28515625" bestFit="1" customWidth="1"/>
    <col min="14" max="14" width="10.42578125" bestFit="1" customWidth="1"/>
    <col min="16" max="16" width="19.7109375" bestFit="1" customWidth="1"/>
    <col min="18" max="18" width="20.5703125" bestFit="1" customWidth="1"/>
    <col min="44" max="44" width="10" bestFit="1" customWidth="1"/>
    <col min="46" max="46" width="10" bestFit="1" customWidth="1"/>
    <col min="48" max="48" width="10" bestFit="1" customWidth="1"/>
    <col min="49" max="50" width="2.5703125" customWidth="1"/>
    <col min="52" max="52" width="2.42578125" customWidth="1"/>
    <col min="54" max="54" width="2.5703125" customWidth="1"/>
    <col min="55" max="55" width="10.140625" bestFit="1" customWidth="1"/>
    <col min="56" max="56" width="2.28515625" customWidth="1"/>
    <col min="57" max="57" width="10.140625" bestFit="1" customWidth="1"/>
  </cols>
  <sheetData>
    <row r="1" spans="1:57" ht="15.75" x14ac:dyDescent="0.25">
      <c r="A1" s="49" t="s">
        <v>93</v>
      </c>
      <c r="B1" s="57"/>
      <c r="C1" s="57"/>
      <c r="D1" s="51"/>
      <c r="E1" s="51"/>
      <c r="F1" s="51"/>
      <c r="G1" s="51"/>
      <c r="H1" s="51"/>
      <c r="I1" s="51"/>
      <c r="J1" s="51"/>
      <c r="K1" s="51"/>
      <c r="L1" s="51"/>
      <c r="M1" s="51"/>
      <c r="N1" s="51"/>
      <c r="O1" s="58"/>
      <c r="P1" s="58"/>
      <c r="Q1" s="51"/>
      <c r="R1" s="58"/>
      <c r="S1" s="51"/>
      <c r="T1" s="59"/>
      <c r="U1" s="51"/>
      <c r="V1" s="59"/>
      <c r="X1" s="60"/>
      <c r="Y1" s="51"/>
      <c r="Z1" s="59"/>
      <c r="AA1" s="51"/>
      <c r="AB1" s="59"/>
      <c r="AD1" s="60"/>
      <c r="AF1" s="59"/>
      <c r="AG1" s="51"/>
      <c r="AH1" s="59"/>
      <c r="AJ1" s="60"/>
      <c r="AK1" s="51"/>
      <c r="AL1" s="59"/>
      <c r="AM1" s="51"/>
      <c r="AN1" s="59"/>
      <c r="AP1" s="60"/>
      <c r="AR1" s="60"/>
      <c r="AS1" s="51" t="s">
        <v>0</v>
      </c>
      <c r="AT1" s="60"/>
      <c r="AU1" s="51" t="s">
        <v>0</v>
      </c>
      <c r="AV1" s="60"/>
    </row>
    <row r="2" spans="1:57" ht="15.75" x14ac:dyDescent="0.25">
      <c r="A2" s="50"/>
      <c r="B2" s="57"/>
      <c r="C2" s="57"/>
      <c r="D2" s="51"/>
      <c r="E2" s="51"/>
      <c r="F2" s="51"/>
      <c r="G2" s="51"/>
      <c r="H2" s="51"/>
      <c r="I2" s="51"/>
    </row>
    <row r="3" spans="1:57" x14ac:dyDescent="0.25">
      <c r="A3" s="51" t="s">
        <v>1</v>
      </c>
      <c r="B3" s="51"/>
      <c r="C3" s="51"/>
      <c r="D3" s="51"/>
      <c r="E3" s="51"/>
      <c r="F3" s="51"/>
      <c r="G3" s="51"/>
      <c r="H3" s="51"/>
      <c r="I3" s="51"/>
    </row>
    <row r="4" spans="1:57" x14ac:dyDescent="0.25">
      <c r="A4" s="51" t="s">
        <v>2</v>
      </c>
      <c r="B4" s="51"/>
      <c r="C4" s="51"/>
      <c r="D4" s="51"/>
      <c r="E4" s="51"/>
      <c r="F4" s="51"/>
      <c r="G4" s="51"/>
      <c r="H4" s="51"/>
      <c r="I4" s="51"/>
    </row>
    <row r="5" spans="1:57" x14ac:dyDescent="0.25">
      <c r="A5" s="51" t="s">
        <v>4</v>
      </c>
      <c r="B5" s="51"/>
      <c r="C5" s="51"/>
      <c r="D5" s="51"/>
      <c r="E5" s="51"/>
      <c r="F5" s="51"/>
      <c r="G5" s="51"/>
      <c r="H5" s="51"/>
      <c r="I5" s="51"/>
    </row>
    <row r="6" spans="1:57" x14ac:dyDescent="0.25">
      <c r="A6" s="52" t="s">
        <v>94</v>
      </c>
      <c r="B6" s="61"/>
      <c r="C6" s="61"/>
      <c r="D6" s="61"/>
      <c r="E6" s="61"/>
      <c r="F6" s="61"/>
      <c r="G6" s="61"/>
      <c r="H6" s="61"/>
      <c r="I6" s="61"/>
    </row>
    <row r="7" spans="1:57" x14ac:dyDescent="0.25">
      <c r="A7" s="52" t="s">
        <v>95</v>
      </c>
      <c r="B7" s="61"/>
      <c r="C7" s="61"/>
      <c r="D7" s="61"/>
      <c r="E7" s="61"/>
      <c r="F7" s="61"/>
      <c r="G7" s="61"/>
      <c r="H7" s="61"/>
      <c r="I7" s="61"/>
    </row>
    <row r="8" spans="1:57" x14ac:dyDescent="0.25">
      <c r="A8" s="52" t="s">
        <v>5</v>
      </c>
      <c r="B8" s="61"/>
      <c r="C8" s="61"/>
      <c r="D8" s="61"/>
      <c r="E8" s="61"/>
      <c r="F8" s="61"/>
      <c r="G8" s="61"/>
      <c r="H8" s="61"/>
      <c r="I8" s="61"/>
    </row>
    <row r="9" spans="1:57" x14ac:dyDescent="0.25">
      <c r="A9" s="52" t="s">
        <v>96</v>
      </c>
      <c r="B9" s="61"/>
      <c r="C9" s="61"/>
      <c r="D9" s="61"/>
      <c r="E9" s="61"/>
      <c r="F9" s="61"/>
      <c r="G9" s="61"/>
      <c r="H9" s="61"/>
      <c r="I9" s="61"/>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row>
    <row r="10" spans="1:57" x14ac:dyDescent="0.25">
      <c r="A10" s="52" t="s">
        <v>97</v>
      </c>
      <c r="B10" s="61"/>
      <c r="C10" s="61"/>
      <c r="D10" s="61"/>
      <c r="E10" s="61"/>
      <c r="F10" s="61"/>
      <c r="G10" s="61"/>
      <c r="H10" s="61"/>
      <c r="I10" s="61"/>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row>
    <row r="11" spans="1:57" x14ac:dyDescent="0.25">
      <c r="A11" s="52" t="s">
        <v>98</v>
      </c>
      <c r="B11" s="61"/>
      <c r="C11" s="61"/>
      <c r="D11" s="61"/>
      <c r="E11" s="61"/>
      <c r="F11" s="61"/>
      <c r="G11" s="61"/>
      <c r="H11" s="61"/>
      <c r="I11" s="61"/>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row>
    <row r="12" spans="1:57" x14ac:dyDescent="0.25">
      <c r="A12" s="52"/>
      <c r="B12" s="61"/>
      <c r="C12" s="61"/>
      <c r="D12" s="61"/>
      <c r="E12" s="61"/>
      <c r="F12" s="61"/>
      <c r="G12" s="61"/>
      <c r="H12" s="61"/>
      <c r="I12" s="61"/>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row>
    <row r="13" spans="1:57" ht="31.5" customHeight="1" x14ac:dyDescent="0.25">
      <c r="A13" s="281" t="s">
        <v>6</v>
      </c>
      <c r="B13" s="281"/>
      <c r="C13" s="281"/>
      <c r="D13" s="281"/>
      <c r="E13" s="281"/>
      <c r="F13" s="281"/>
      <c r="G13" s="281"/>
      <c r="H13" s="281"/>
      <c r="I13" s="281"/>
      <c r="J13" s="281" t="s">
        <v>7</v>
      </c>
      <c r="K13" s="281"/>
      <c r="L13" s="281"/>
      <c r="M13" s="281"/>
      <c r="N13" s="281"/>
      <c r="O13" s="281"/>
      <c r="P13" s="281"/>
      <c r="Q13" s="281"/>
      <c r="R13" s="281"/>
      <c r="S13" s="281" t="s">
        <v>8</v>
      </c>
      <c r="T13" s="281"/>
      <c r="U13" s="281"/>
      <c r="V13" s="281"/>
      <c r="W13" s="281"/>
      <c r="X13" s="281"/>
      <c r="Y13" s="281"/>
      <c r="Z13" s="281"/>
      <c r="AA13" s="281"/>
      <c r="AB13" s="281"/>
      <c r="AC13" s="281"/>
      <c r="AD13" s="281"/>
      <c r="AE13" s="281"/>
      <c r="AF13" s="281"/>
      <c r="AG13" s="281"/>
      <c r="AH13" s="281"/>
      <c r="AI13" s="281"/>
      <c r="AJ13" s="281"/>
      <c r="AK13" s="281"/>
      <c r="AL13" s="281"/>
      <c r="AM13" s="281"/>
      <c r="AN13" s="281"/>
      <c r="AO13" s="281"/>
      <c r="AP13" s="281"/>
      <c r="AQ13" s="281"/>
      <c r="AR13" s="281"/>
      <c r="AS13" s="281"/>
      <c r="AT13" s="281"/>
      <c r="AU13" s="281"/>
      <c r="AV13" s="281"/>
      <c r="AX13" s="282" t="s">
        <v>53</v>
      </c>
      <c r="AY13" s="283"/>
      <c r="AZ13" s="283"/>
      <c r="BA13" s="283"/>
      <c r="BB13" s="283"/>
      <c r="BC13" s="283"/>
      <c r="BD13" s="283"/>
      <c r="BE13" s="284"/>
    </row>
    <row r="14" spans="1:57" ht="123.75" x14ac:dyDescent="0.25">
      <c r="A14" s="63"/>
      <c r="B14" s="64"/>
      <c r="C14" s="64"/>
      <c r="D14" s="64"/>
      <c r="E14" s="64"/>
      <c r="F14" s="64"/>
      <c r="G14" s="64"/>
      <c r="H14" s="64"/>
      <c r="I14" s="65"/>
      <c r="J14" s="66" t="s">
        <v>99</v>
      </c>
      <c r="K14" s="54"/>
      <c r="L14" s="53" t="s">
        <v>100</v>
      </c>
      <c r="M14" s="67"/>
      <c r="N14" s="53" t="s">
        <v>122</v>
      </c>
      <c r="O14" s="68"/>
      <c r="P14" s="53" t="s">
        <v>123</v>
      </c>
      <c r="Q14" s="54"/>
      <c r="R14" s="69" t="s">
        <v>124</v>
      </c>
      <c r="S14" s="70"/>
      <c r="T14" s="53" t="s">
        <v>104</v>
      </c>
      <c r="U14" s="54"/>
      <c r="V14" s="53" t="s">
        <v>105</v>
      </c>
      <c r="W14" s="55"/>
      <c r="X14" s="56" t="s">
        <v>125</v>
      </c>
      <c r="Y14" s="54"/>
      <c r="Z14" s="53" t="s">
        <v>107</v>
      </c>
      <c r="AA14" s="54"/>
      <c r="AB14" s="53" t="s">
        <v>108</v>
      </c>
      <c r="AC14" s="55"/>
      <c r="AD14" s="56" t="s">
        <v>109</v>
      </c>
      <c r="AE14" s="55"/>
      <c r="AF14" s="53" t="s">
        <v>110</v>
      </c>
      <c r="AG14" s="54"/>
      <c r="AH14" s="53" t="s">
        <v>111</v>
      </c>
      <c r="AI14" s="55"/>
      <c r="AJ14" s="56" t="s">
        <v>112</v>
      </c>
      <c r="AK14" s="54"/>
      <c r="AL14" s="53" t="s">
        <v>113</v>
      </c>
      <c r="AM14" s="54"/>
      <c r="AN14" s="53" t="s">
        <v>114</v>
      </c>
      <c r="AO14" s="55"/>
      <c r="AP14" s="56" t="s">
        <v>115</v>
      </c>
      <c r="AQ14" s="55"/>
      <c r="AR14" s="53" t="s">
        <v>116</v>
      </c>
      <c r="AS14" s="55"/>
      <c r="AT14" s="53" t="s">
        <v>117</v>
      </c>
      <c r="AU14" s="54"/>
      <c r="AV14" s="71" t="s">
        <v>126</v>
      </c>
      <c r="AX14" s="3"/>
      <c r="AY14" s="1" t="s">
        <v>119</v>
      </c>
      <c r="AZ14" s="1"/>
      <c r="BA14" s="1" t="s">
        <v>121</v>
      </c>
      <c r="BB14" s="1"/>
      <c r="BC14" s="1" t="s">
        <v>120</v>
      </c>
      <c r="BD14" s="2"/>
      <c r="BE14" s="4" t="s">
        <v>118</v>
      </c>
    </row>
    <row r="15" spans="1:57" x14ac:dyDescent="0.25">
      <c r="A15" s="72">
        <v>122407</v>
      </c>
      <c r="B15" s="73">
        <v>8922045</v>
      </c>
      <c r="C15" s="73" t="s">
        <v>134</v>
      </c>
      <c r="D15" s="73">
        <v>892</v>
      </c>
      <c r="E15" s="73" t="s">
        <v>9</v>
      </c>
      <c r="F15" s="73">
        <v>2045</v>
      </c>
      <c r="G15" s="73" t="s">
        <v>10</v>
      </c>
      <c r="H15" s="73" t="s">
        <v>127</v>
      </c>
      <c r="I15" s="73" t="s">
        <v>11</v>
      </c>
      <c r="J15" s="74">
        <v>11727</v>
      </c>
      <c r="K15" s="75"/>
      <c r="L15" s="76">
        <v>18572.499999999996</v>
      </c>
      <c r="M15" s="61"/>
      <c r="N15" s="76">
        <v>6845.4999999999964</v>
      </c>
      <c r="O15" s="77"/>
      <c r="P15" s="78">
        <v>10834</v>
      </c>
      <c r="Q15" s="75"/>
      <c r="R15" s="79">
        <v>17680</v>
      </c>
      <c r="S15" s="80"/>
      <c r="T15" s="81">
        <v>24</v>
      </c>
      <c r="U15" s="75"/>
      <c r="V15" s="81">
        <v>10</v>
      </c>
      <c r="X15" s="82">
        <v>14</v>
      </c>
      <c r="Y15" s="75"/>
      <c r="Z15" s="81">
        <v>22</v>
      </c>
      <c r="AA15" s="75"/>
      <c r="AB15" s="81">
        <v>9</v>
      </c>
      <c r="AD15" s="82">
        <v>13</v>
      </c>
      <c r="AF15" s="81">
        <v>49</v>
      </c>
      <c r="AG15" s="75"/>
      <c r="AH15" s="81">
        <v>20</v>
      </c>
      <c r="AJ15" s="82">
        <v>29</v>
      </c>
      <c r="AK15" s="75"/>
      <c r="AL15" s="81">
        <v>46</v>
      </c>
      <c r="AM15" s="75"/>
      <c r="AN15" s="81">
        <v>17</v>
      </c>
      <c r="AP15" s="82">
        <v>29</v>
      </c>
      <c r="AR15" s="83">
        <v>13.5</v>
      </c>
      <c r="AS15" s="75"/>
      <c r="AT15" s="83">
        <v>29</v>
      </c>
      <c r="AU15" s="75"/>
      <c r="AV15" s="84">
        <v>42.5</v>
      </c>
      <c r="AX15" s="7"/>
      <c r="AY15" s="8">
        <f>R15-BA15-BC15</f>
        <v>-892.54166666666424</v>
      </c>
      <c r="AZ15" s="8"/>
      <c r="BA15" s="8">
        <f>L15/12*5</f>
        <v>7738.5416666666652</v>
      </c>
      <c r="BB15" s="8"/>
      <c r="BC15" s="8">
        <f>P15</f>
        <v>10834</v>
      </c>
      <c r="BD15" s="8"/>
      <c r="BE15" s="9">
        <f>SUM(AY15:BD15)</f>
        <v>17680</v>
      </c>
    </row>
    <row r="16" spans="1:57" x14ac:dyDescent="0.25">
      <c r="A16" s="72">
        <v>122413</v>
      </c>
      <c r="B16" s="73">
        <v>8922056</v>
      </c>
      <c r="C16" s="73" t="s">
        <v>151</v>
      </c>
      <c r="D16" s="73">
        <v>892</v>
      </c>
      <c r="E16" s="73" t="s">
        <v>9</v>
      </c>
      <c r="F16" s="73">
        <v>2056</v>
      </c>
      <c r="G16" s="73" t="s">
        <v>12</v>
      </c>
      <c r="H16" s="73" t="s">
        <v>127</v>
      </c>
      <c r="I16" s="73" t="s">
        <v>11</v>
      </c>
      <c r="J16" s="74">
        <v>24218</v>
      </c>
      <c r="K16" s="75"/>
      <c r="L16" s="76">
        <v>44792.499999999993</v>
      </c>
      <c r="M16" s="61"/>
      <c r="N16" s="76">
        <v>20574.499999999993</v>
      </c>
      <c r="O16" s="77"/>
      <c r="P16" s="78">
        <v>26129</v>
      </c>
      <c r="Q16" s="75"/>
      <c r="R16" s="79">
        <v>46704</v>
      </c>
      <c r="S16" s="80"/>
      <c r="T16" s="81">
        <v>53</v>
      </c>
      <c r="U16" s="75"/>
      <c r="V16" s="81">
        <v>14</v>
      </c>
      <c r="X16" s="82">
        <v>39</v>
      </c>
      <c r="Y16" s="75"/>
      <c r="Z16" s="81">
        <v>48</v>
      </c>
      <c r="AA16" s="75"/>
      <c r="AB16" s="81">
        <v>12</v>
      </c>
      <c r="AD16" s="82">
        <v>36</v>
      </c>
      <c r="AF16" s="81">
        <v>88</v>
      </c>
      <c r="AG16" s="75"/>
      <c r="AH16" s="81">
        <v>23</v>
      </c>
      <c r="AJ16" s="82">
        <v>65</v>
      </c>
      <c r="AK16" s="75"/>
      <c r="AL16" s="81">
        <v>85</v>
      </c>
      <c r="AM16" s="75"/>
      <c r="AN16" s="81">
        <v>20</v>
      </c>
      <c r="AP16" s="82">
        <v>65</v>
      </c>
      <c r="AR16" s="83">
        <v>37.5</v>
      </c>
      <c r="AS16" s="75"/>
      <c r="AT16" s="83">
        <v>65</v>
      </c>
      <c r="AU16" s="75"/>
      <c r="AV16" s="84">
        <v>102.5</v>
      </c>
      <c r="AY16" s="8">
        <f t="shared" ref="AY16:AY52" si="0">R16-BA16-BC16</f>
        <v>1911.4583333333358</v>
      </c>
      <c r="AZ16" s="8"/>
      <c r="BA16" s="8">
        <f t="shared" ref="BA16:BA52" si="1">L16/12*5</f>
        <v>18663.541666666664</v>
      </c>
      <c r="BB16" s="8"/>
      <c r="BC16" s="8">
        <f t="shared" ref="BC16:BC52" si="2">P16</f>
        <v>26129</v>
      </c>
      <c r="BD16" s="8"/>
      <c r="BE16" s="9">
        <f t="shared" ref="BE16:BE52" si="3">SUM(AY16:BD16)</f>
        <v>46704</v>
      </c>
    </row>
    <row r="17" spans="1:57" x14ac:dyDescent="0.25">
      <c r="A17" s="72">
        <v>122414</v>
      </c>
      <c r="B17" s="73">
        <v>8922057</v>
      </c>
      <c r="C17" s="73" t="s">
        <v>152</v>
      </c>
      <c r="D17" s="73">
        <v>892</v>
      </c>
      <c r="E17" s="73" t="s">
        <v>9</v>
      </c>
      <c r="F17" s="73">
        <v>2057</v>
      </c>
      <c r="G17" s="73" t="s">
        <v>13</v>
      </c>
      <c r="H17" s="73" t="s">
        <v>127</v>
      </c>
      <c r="I17" s="73" t="s">
        <v>11</v>
      </c>
      <c r="J17" s="74">
        <v>16698</v>
      </c>
      <c r="K17" s="75"/>
      <c r="L17" s="76">
        <v>33867.499999999993</v>
      </c>
      <c r="M17" s="61"/>
      <c r="N17" s="76">
        <v>17169.499999999993</v>
      </c>
      <c r="O17" s="77"/>
      <c r="P17" s="78">
        <v>19757</v>
      </c>
      <c r="Q17" s="75"/>
      <c r="R17" s="79">
        <v>36927</v>
      </c>
      <c r="S17" s="80"/>
      <c r="T17" s="81">
        <v>26</v>
      </c>
      <c r="U17" s="75"/>
      <c r="V17" s="81">
        <v>1</v>
      </c>
      <c r="X17" s="82">
        <v>25</v>
      </c>
      <c r="Y17" s="75"/>
      <c r="Z17" s="81">
        <v>27</v>
      </c>
      <c r="AA17" s="75"/>
      <c r="AB17" s="81">
        <v>1</v>
      </c>
      <c r="AD17" s="82">
        <v>26</v>
      </c>
      <c r="AF17" s="81">
        <v>56</v>
      </c>
      <c r="AG17" s="75"/>
      <c r="AH17" s="81">
        <v>2</v>
      </c>
      <c r="AJ17" s="82">
        <v>54</v>
      </c>
      <c r="AK17" s="75"/>
      <c r="AL17" s="81">
        <v>50</v>
      </c>
      <c r="AM17" s="75"/>
      <c r="AN17" s="81">
        <v>1</v>
      </c>
      <c r="AP17" s="82">
        <v>49</v>
      </c>
      <c r="AR17" s="83">
        <v>26</v>
      </c>
      <c r="AS17" s="75"/>
      <c r="AT17" s="83">
        <v>51.5</v>
      </c>
      <c r="AU17" s="75"/>
      <c r="AV17" s="84">
        <v>77.5</v>
      </c>
      <c r="AY17" s="8">
        <f t="shared" si="0"/>
        <v>3058.5416666666715</v>
      </c>
      <c r="AZ17" s="8"/>
      <c r="BA17" s="8">
        <f t="shared" si="1"/>
        <v>14111.45833333333</v>
      </c>
      <c r="BB17" s="8"/>
      <c r="BC17" s="8">
        <f t="shared" si="2"/>
        <v>19757</v>
      </c>
      <c r="BD17" s="8"/>
      <c r="BE17" s="9">
        <f t="shared" si="3"/>
        <v>36927</v>
      </c>
    </row>
    <row r="18" spans="1:57" x14ac:dyDescent="0.25">
      <c r="A18" s="72">
        <v>122416</v>
      </c>
      <c r="B18" s="73">
        <v>8922061</v>
      </c>
      <c r="C18" s="73" t="s">
        <v>153</v>
      </c>
      <c r="D18" s="73">
        <v>892</v>
      </c>
      <c r="E18" s="73" t="s">
        <v>9</v>
      </c>
      <c r="F18" s="73">
        <v>2061</v>
      </c>
      <c r="G18" s="73" t="s">
        <v>14</v>
      </c>
      <c r="H18" s="73" t="s">
        <v>127</v>
      </c>
      <c r="I18" s="73" t="s">
        <v>11</v>
      </c>
      <c r="J18" s="74">
        <v>48944</v>
      </c>
      <c r="K18" s="75"/>
      <c r="L18" s="76">
        <v>71886.499999999985</v>
      </c>
      <c r="M18" s="61"/>
      <c r="N18" s="76">
        <v>22942.499999999985</v>
      </c>
      <c r="O18" s="77"/>
      <c r="P18" s="78">
        <v>41934</v>
      </c>
      <c r="Q18" s="75"/>
      <c r="R18" s="79">
        <v>64877</v>
      </c>
      <c r="S18" s="80"/>
      <c r="T18" s="81">
        <v>55</v>
      </c>
      <c r="U18" s="75"/>
      <c r="V18" s="81">
        <v>6</v>
      </c>
      <c r="X18" s="82">
        <v>49</v>
      </c>
      <c r="Y18" s="75"/>
      <c r="Z18" s="81">
        <v>58</v>
      </c>
      <c r="AA18" s="75"/>
      <c r="AB18" s="81">
        <v>6</v>
      </c>
      <c r="AD18" s="82">
        <v>52</v>
      </c>
      <c r="AF18" s="81">
        <v>129</v>
      </c>
      <c r="AG18" s="75"/>
      <c r="AH18" s="81">
        <v>13</v>
      </c>
      <c r="AJ18" s="82">
        <v>116</v>
      </c>
      <c r="AK18" s="75"/>
      <c r="AL18" s="81">
        <v>121</v>
      </c>
      <c r="AM18" s="75"/>
      <c r="AN18" s="81">
        <v>12</v>
      </c>
      <c r="AP18" s="82">
        <v>109</v>
      </c>
      <c r="AR18" s="83">
        <v>52</v>
      </c>
      <c r="AS18" s="75"/>
      <c r="AT18" s="83">
        <v>112.5</v>
      </c>
      <c r="AU18" s="75"/>
      <c r="AV18" s="84">
        <v>164.5</v>
      </c>
      <c r="AY18" s="8">
        <f t="shared" si="0"/>
        <v>-7009.7083333333285</v>
      </c>
      <c r="AZ18" s="8"/>
      <c r="BA18" s="8">
        <f t="shared" si="1"/>
        <v>29952.708333333325</v>
      </c>
      <c r="BB18" s="8"/>
      <c r="BC18" s="8">
        <f t="shared" si="2"/>
        <v>41934</v>
      </c>
      <c r="BD18" s="8"/>
      <c r="BE18" s="9">
        <f t="shared" si="3"/>
        <v>64877</v>
      </c>
    </row>
    <row r="19" spans="1:57" x14ac:dyDescent="0.25">
      <c r="A19" s="72">
        <v>122426</v>
      </c>
      <c r="B19" s="73">
        <v>8922079</v>
      </c>
      <c r="C19" s="73" t="s">
        <v>154</v>
      </c>
      <c r="D19" s="73">
        <v>892</v>
      </c>
      <c r="E19" s="73" t="s">
        <v>9</v>
      </c>
      <c r="F19" s="73">
        <v>2079</v>
      </c>
      <c r="G19" s="73" t="s">
        <v>15</v>
      </c>
      <c r="H19" s="73" t="s">
        <v>127</v>
      </c>
      <c r="I19" s="73" t="s">
        <v>11</v>
      </c>
      <c r="J19" s="74">
        <v>13384</v>
      </c>
      <c r="K19" s="75"/>
      <c r="L19" s="76">
        <v>23816.499999999996</v>
      </c>
      <c r="M19" s="61"/>
      <c r="N19" s="76">
        <v>10432.499999999996</v>
      </c>
      <c r="O19" s="77"/>
      <c r="P19" s="78">
        <v>13893</v>
      </c>
      <c r="Q19" s="75"/>
      <c r="R19" s="79">
        <v>24326</v>
      </c>
      <c r="S19" s="80"/>
      <c r="T19" s="81">
        <v>24</v>
      </c>
      <c r="U19" s="75"/>
      <c r="V19" s="81">
        <v>10</v>
      </c>
      <c r="X19" s="82">
        <v>14</v>
      </c>
      <c r="Y19" s="75"/>
      <c r="Z19" s="81">
        <v>30</v>
      </c>
      <c r="AA19" s="75"/>
      <c r="AB19" s="81">
        <v>10</v>
      </c>
      <c r="AD19" s="82">
        <v>20</v>
      </c>
      <c r="AF19" s="81">
        <v>44</v>
      </c>
      <c r="AG19" s="75"/>
      <c r="AH19" s="81">
        <v>15</v>
      </c>
      <c r="AJ19" s="82">
        <v>29</v>
      </c>
      <c r="AK19" s="75"/>
      <c r="AL19" s="81">
        <v>58</v>
      </c>
      <c r="AM19" s="75"/>
      <c r="AN19" s="81">
        <v>18</v>
      </c>
      <c r="AP19" s="82">
        <v>40</v>
      </c>
      <c r="AR19" s="83">
        <v>20</v>
      </c>
      <c r="AS19" s="75"/>
      <c r="AT19" s="83">
        <v>34.5</v>
      </c>
      <c r="AU19" s="75"/>
      <c r="AV19" s="84">
        <v>54.5</v>
      </c>
      <c r="AY19" s="8">
        <f t="shared" si="0"/>
        <v>509.45833333333576</v>
      </c>
      <c r="AZ19" s="8"/>
      <c r="BA19" s="8">
        <f t="shared" si="1"/>
        <v>9923.5416666666642</v>
      </c>
      <c r="BB19" s="8"/>
      <c r="BC19" s="8">
        <f t="shared" si="2"/>
        <v>13893</v>
      </c>
      <c r="BD19" s="8"/>
      <c r="BE19" s="9">
        <f t="shared" si="3"/>
        <v>24326</v>
      </c>
    </row>
    <row r="20" spans="1:57" x14ac:dyDescent="0.25">
      <c r="A20" s="72">
        <v>122427</v>
      </c>
      <c r="B20" s="73">
        <v>8922080</v>
      </c>
      <c r="C20" s="73" t="s">
        <v>155</v>
      </c>
      <c r="D20" s="73">
        <v>892</v>
      </c>
      <c r="E20" s="73" t="s">
        <v>9</v>
      </c>
      <c r="F20" s="73">
        <v>2080</v>
      </c>
      <c r="G20" s="73" t="s">
        <v>16</v>
      </c>
      <c r="H20" s="73" t="s">
        <v>127</v>
      </c>
      <c r="I20" s="73" t="s">
        <v>11</v>
      </c>
      <c r="J20" s="74">
        <v>42699</v>
      </c>
      <c r="K20" s="75"/>
      <c r="L20" s="76">
        <v>72978.999999999985</v>
      </c>
      <c r="M20" s="61"/>
      <c r="N20" s="76">
        <v>30279.999999999985</v>
      </c>
      <c r="O20" s="77"/>
      <c r="P20" s="78">
        <v>42572</v>
      </c>
      <c r="Q20" s="75"/>
      <c r="R20" s="79">
        <v>72852</v>
      </c>
      <c r="S20" s="80"/>
      <c r="T20" s="81">
        <v>55</v>
      </c>
      <c r="U20" s="75"/>
      <c r="V20" s="81">
        <v>1</v>
      </c>
      <c r="X20" s="82">
        <v>54</v>
      </c>
      <c r="Y20" s="75"/>
      <c r="Z20" s="81">
        <v>55</v>
      </c>
      <c r="AA20" s="75"/>
      <c r="AB20" s="81">
        <v>1</v>
      </c>
      <c r="AD20" s="82">
        <v>54</v>
      </c>
      <c r="AF20" s="81">
        <v>116</v>
      </c>
      <c r="AG20" s="75"/>
      <c r="AH20" s="81">
        <v>7</v>
      </c>
      <c r="AJ20" s="82">
        <v>109</v>
      </c>
      <c r="AK20" s="75"/>
      <c r="AL20" s="81">
        <v>124</v>
      </c>
      <c r="AM20" s="75"/>
      <c r="AN20" s="81">
        <v>7</v>
      </c>
      <c r="AP20" s="82">
        <v>117</v>
      </c>
      <c r="AR20" s="83">
        <v>54</v>
      </c>
      <c r="AS20" s="75"/>
      <c r="AT20" s="83">
        <v>113</v>
      </c>
      <c r="AU20" s="75"/>
      <c r="AV20" s="84">
        <v>167</v>
      </c>
      <c r="AY20" s="8">
        <f t="shared" si="0"/>
        <v>-127.91666666665697</v>
      </c>
      <c r="AZ20" s="8"/>
      <c r="BA20" s="8">
        <f t="shared" si="1"/>
        <v>30407.916666666661</v>
      </c>
      <c r="BB20" s="8"/>
      <c r="BC20" s="8">
        <f t="shared" si="2"/>
        <v>42572</v>
      </c>
      <c r="BD20" s="8"/>
      <c r="BE20" s="9">
        <f t="shared" si="3"/>
        <v>72852</v>
      </c>
    </row>
    <row r="21" spans="1:57" x14ac:dyDescent="0.25">
      <c r="A21" s="72">
        <v>122437</v>
      </c>
      <c r="B21" s="73">
        <v>8922090</v>
      </c>
      <c r="C21" s="73" t="s">
        <v>156</v>
      </c>
      <c r="D21" s="73">
        <v>892</v>
      </c>
      <c r="E21" s="73" t="s">
        <v>9</v>
      </c>
      <c r="F21" s="73">
        <v>2090</v>
      </c>
      <c r="G21" s="73" t="s">
        <v>18</v>
      </c>
      <c r="H21" s="73" t="s">
        <v>127</v>
      </c>
      <c r="I21" s="73" t="s">
        <v>11</v>
      </c>
      <c r="J21" s="74">
        <v>26129</v>
      </c>
      <c r="K21" s="75"/>
      <c r="L21" s="76">
        <v>49380.999999999993</v>
      </c>
      <c r="M21" s="61"/>
      <c r="N21" s="76">
        <v>23251.999999999993</v>
      </c>
      <c r="O21" s="77"/>
      <c r="P21" s="78">
        <v>28806</v>
      </c>
      <c r="Q21" s="75"/>
      <c r="R21" s="79">
        <v>52058</v>
      </c>
      <c r="S21" s="80"/>
      <c r="T21" s="81">
        <v>43</v>
      </c>
      <c r="U21" s="75"/>
      <c r="V21" s="81">
        <v>2</v>
      </c>
      <c r="X21" s="82">
        <v>41</v>
      </c>
      <c r="Y21" s="75"/>
      <c r="Z21" s="81">
        <v>42</v>
      </c>
      <c r="AA21" s="75"/>
      <c r="AB21" s="81">
        <v>4</v>
      </c>
      <c r="AD21" s="82">
        <v>38</v>
      </c>
      <c r="AF21" s="81">
        <v>84</v>
      </c>
      <c r="AG21" s="75"/>
      <c r="AH21" s="81">
        <v>12</v>
      </c>
      <c r="AJ21" s="82">
        <v>72</v>
      </c>
      <c r="AK21" s="75"/>
      <c r="AL21" s="81">
        <v>87</v>
      </c>
      <c r="AM21" s="75"/>
      <c r="AN21" s="81">
        <v>12</v>
      </c>
      <c r="AP21" s="82">
        <v>75</v>
      </c>
      <c r="AR21" s="83">
        <v>39.5</v>
      </c>
      <c r="AS21" s="75"/>
      <c r="AT21" s="83">
        <v>73.5</v>
      </c>
      <c r="AU21" s="75"/>
      <c r="AV21" s="84">
        <v>113</v>
      </c>
      <c r="AY21" s="8">
        <f t="shared" si="0"/>
        <v>2676.5833333333358</v>
      </c>
      <c r="AZ21" s="8"/>
      <c r="BA21" s="8">
        <f t="shared" si="1"/>
        <v>20575.416666666664</v>
      </c>
      <c r="BB21" s="8"/>
      <c r="BC21" s="8">
        <f t="shared" si="2"/>
        <v>28806</v>
      </c>
      <c r="BD21" s="8"/>
      <c r="BE21" s="9">
        <f t="shared" si="3"/>
        <v>52058</v>
      </c>
    </row>
    <row r="22" spans="1:57" x14ac:dyDescent="0.25">
      <c r="A22" s="72">
        <v>122442</v>
      </c>
      <c r="B22" s="73">
        <v>8922095</v>
      </c>
      <c r="C22" s="73" t="s">
        <v>157</v>
      </c>
      <c r="D22" s="73">
        <v>892</v>
      </c>
      <c r="E22" s="73" t="s">
        <v>9</v>
      </c>
      <c r="F22" s="73">
        <v>2095</v>
      </c>
      <c r="G22" s="73" t="s">
        <v>19</v>
      </c>
      <c r="H22" s="73" t="s">
        <v>127</v>
      </c>
      <c r="I22" s="73" t="s">
        <v>11</v>
      </c>
      <c r="J22" s="74">
        <v>32502</v>
      </c>
      <c r="K22" s="75"/>
      <c r="L22" s="76">
        <v>74289.999999999985</v>
      </c>
      <c r="M22" s="61"/>
      <c r="N22" s="76">
        <v>41787.999999999985</v>
      </c>
      <c r="O22" s="77"/>
      <c r="P22" s="78">
        <v>43336</v>
      </c>
      <c r="Q22" s="75"/>
      <c r="R22" s="79">
        <v>85124</v>
      </c>
      <c r="S22" s="80"/>
      <c r="T22" s="81">
        <v>87</v>
      </c>
      <c r="U22" s="75"/>
      <c r="V22" s="81">
        <v>21</v>
      </c>
      <c r="X22" s="82">
        <v>66</v>
      </c>
      <c r="Y22" s="75"/>
      <c r="Z22" s="81">
        <v>91</v>
      </c>
      <c r="AA22" s="75"/>
      <c r="AB22" s="81">
        <v>24</v>
      </c>
      <c r="AD22" s="82">
        <v>67</v>
      </c>
      <c r="AF22" s="81">
        <v>133</v>
      </c>
      <c r="AG22" s="75"/>
      <c r="AH22" s="81">
        <v>39</v>
      </c>
      <c r="AJ22" s="82">
        <v>94</v>
      </c>
      <c r="AK22" s="75"/>
      <c r="AL22" s="81">
        <v>158</v>
      </c>
      <c r="AM22" s="75"/>
      <c r="AN22" s="81">
        <v>46</v>
      </c>
      <c r="AP22" s="82">
        <v>112</v>
      </c>
      <c r="AR22" s="83">
        <v>67</v>
      </c>
      <c r="AS22" s="75"/>
      <c r="AT22" s="83">
        <v>103</v>
      </c>
      <c r="AU22" s="75"/>
      <c r="AV22" s="84">
        <v>170</v>
      </c>
      <c r="AY22" s="8">
        <f t="shared" si="0"/>
        <v>10833.833333333343</v>
      </c>
      <c r="AZ22" s="8"/>
      <c r="BA22" s="8">
        <f t="shared" si="1"/>
        <v>30954.166666666661</v>
      </c>
      <c r="BB22" s="8"/>
      <c r="BC22" s="8">
        <f t="shared" si="2"/>
        <v>43336</v>
      </c>
      <c r="BD22" s="8"/>
      <c r="BE22" s="9">
        <f t="shared" si="3"/>
        <v>85124</v>
      </c>
    </row>
    <row r="23" spans="1:57" x14ac:dyDescent="0.25">
      <c r="A23" s="72">
        <v>122444</v>
      </c>
      <c r="B23" s="73">
        <v>8922097</v>
      </c>
      <c r="C23" s="73" t="s">
        <v>158</v>
      </c>
      <c r="D23" s="73">
        <v>892</v>
      </c>
      <c r="E23" s="73" t="s">
        <v>9</v>
      </c>
      <c r="F23" s="73">
        <v>2097</v>
      </c>
      <c r="G23" s="73" t="s">
        <v>20</v>
      </c>
      <c r="H23" s="73" t="s">
        <v>127</v>
      </c>
      <c r="I23" s="73" t="s">
        <v>11</v>
      </c>
      <c r="J23" s="74">
        <v>11472</v>
      </c>
      <c r="K23" s="75"/>
      <c r="L23" s="76">
        <v>25345.999999999996</v>
      </c>
      <c r="M23" s="61"/>
      <c r="N23" s="76">
        <v>13873.999999999996</v>
      </c>
      <c r="O23" s="77"/>
      <c r="P23" s="78">
        <v>14786</v>
      </c>
      <c r="Q23" s="75"/>
      <c r="R23" s="79">
        <v>28660</v>
      </c>
      <c r="S23" s="80"/>
      <c r="T23" s="81">
        <v>26</v>
      </c>
      <c r="U23" s="75"/>
      <c r="V23" s="81">
        <v>9</v>
      </c>
      <c r="X23" s="82">
        <v>17</v>
      </c>
      <c r="Y23" s="75"/>
      <c r="Z23" s="81">
        <v>24</v>
      </c>
      <c r="AA23" s="75"/>
      <c r="AB23" s="81">
        <v>8</v>
      </c>
      <c r="AD23" s="82">
        <v>16</v>
      </c>
      <c r="AF23" s="81">
        <v>57</v>
      </c>
      <c r="AG23" s="75"/>
      <c r="AH23" s="81">
        <v>14</v>
      </c>
      <c r="AJ23" s="82">
        <v>43</v>
      </c>
      <c r="AK23" s="75"/>
      <c r="AL23" s="81">
        <v>54</v>
      </c>
      <c r="AM23" s="75"/>
      <c r="AN23" s="81">
        <v>14</v>
      </c>
      <c r="AP23" s="82">
        <v>40</v>
      </c>
      <c r="AR23" s="83">
        <v>16.5</v>
      </c>
      <c r="AS23" s="75"/>
      <c r="AT23" s="83">
        <v>41.5</v>
      </c>
      <c r="AU23" s="75"/>
      <c r="AV23" s="84">
        <v>58</v>
      </c>
      <c r="AY23" s="8">
        <f t="shared" si="0"/>
        <v>3313.1666666666679</v>
      </c>
      <c r="AZ23" s="8"/>
      <c r="BA23" s="8">
        <f t="shared" si="1"/>
        <v>10560.833333333332</v>
      </c>
      <c r="BB23" s="8"/>
      <c r="BC23" s="8">
        <f t="shared" si="2"/>
        <v>14786</v>
      </c>
      <c r="BD23" s="8"/>
      <c r="BE23" s="9">
        <f t="shared" si="3"/>
        <v>28660</v>
      </c>
    </row>
    <row r="24" spans="1:57" x14ac:dyDescent="0.25">
      <c r="A24" s="72">
        <v>122456</v>
      </c>
      <c r="B24" s="73">
        <v>8922117</v>
      </c>
      <c r="C24" s="73" t="s">
        <v>159</v>
      </c>
      <c r="D24" s="73">
        <v>892</v>
      </c>
      <c r="E24" s="73" t="s">
        <v>9</v>
      </c>
      <c r="F24" s="73">
        <v>2117</v>
      </c>
      <c r="G24" s="73" t="s">
        <v>21</v>
      </c>
      <c r="H24" s="73" t="s">
        <v>127</v>
      </c>
      <c r="I24" s="73" t="s">
        <v>11</v>
      </c>
      <c r="J24" s="74">
        <v>30845</v>
      </c>
      <c r="K24" s="75"/>
      <c r="L24" s="76">
        <v>53532.499999999993</v>
      </c>
      <c r="M24" s="61"/>
      <c r="N24" s="76">
        <v>22687.499999999993</v>
      </c>
      <c r="O24" s="77"/>
      <c r="P24" s="78">
        <v>31228</v>
      </c>
      <c r="Q24" s="75"/>
      <c r="R24" s="79">
        <v>53916</v>
      </c>
      <c r="S24" s="80"/>
      <c r="T24" s="81">
        <v>53</v>
      </c>
      <c r="U24" s="75"/>
      <c r="V24" s="81">
        <v>13</v>
      </c>
      <c r="X24" s="82">
        <v>40</v>
      </c>
      <c r="Y24" s="75"/>
      <c r="Z24" s="81">
        <v>50</v>
      </c>
      <c r="AA24" s="75"/>
      <c r="AB24" s="81">
        <v>13</v>
      </c>
      <c r="AD24" s="82">
        <v>37</v>
      </c>
      <c r="AF24" s="81">
        <v>102</v>
      </c>
      <c r="AG24" s="75"/>
      <c r="AH24" s="81">
        <v>20</v>
      </c>
      <c r="AJ24" s="82">
        <v>82</v>
      </c>
      <c r="AK24" s="75"/>
      <c r="AL24" s="81">
        <v>113</v>
      </c>
      <c r="AM24" s="75"/>
      <c r="AN24" s="81">
        <v>27</v>
      </c>
      <c r="AP24" s="82">
        <v>86</v>
      </c>
      <c r="AR24" s="83">
        <v>38.5</v>
      </c>
      <c r="AS24" s="75"/>
      <c r="AT24" s="83">
        <v>84</v>
      </c>
      <c r="AU24" s="75"/>
      <c r="AV24" s="84">
        <v>122.5</v>
      </c>
      <c r="AY24" s="8">
        <f t="shared" si="0"/>
        <v>382.79166666667152</v>
      </c>
      <c r="AZ24" s="8"/>
      <c r="BA24" s="8">
        <f t="shared" si="1"/>
        <v>22305.208333333328</v>
      </c>
      <c r="BB24" s="8"/>
      <c r="BC24" s="8">
        <f t="shared" si="2"/>
        <v>31228</v>
      </c>
      <c r="BD24" s="8"/>
      <c r="BE24" s="9">
        <f t="shared" si="3"/>
        <v>53916</v>
      </c>
    </row>
    <row r="25" spans="1:57" x14ac:dyDescent="0.25">
      <c r="A25" s="72">
        <v>122465</v>
      </c>
      <c r="B25" s="73">
        <v>8922128</v>
      </c>
      <c r="C25" s="73" t="s">
        <v>160</v>
      </c>
      <c r="D25" s="73">
        <v>892</v>
      </c>
      <c r="E25" s="73" t="s">
        <v>9</v>
      </c>
      <c r="F25" s="73">
        <v>2128</v>
      </c>
      <c r="G25" s="73" t="s">
        <v>22</v>
      </c>
      <c r="H25" s="73" t="s">
        <v>127</v>
      </c>
      <c r="I25" s="73" t="s">
        <v>11</v>
      </c>
      <c r="J25" s="74">
        <v>14148</v>
      </c>
      <c r="K25" s="75"/>
      <c r="L25" s="76">
        <v>28186.499999999996</v>
      </c>
      <c r="M25" s="61"/>
      <c r="N25" s="76">
        <v>14038.499999999996</v>
      </c>
      <c r="O25" s="77"/>
      <c r="P25" s="78">
        <v>16443</v>
      </c>
      <c r="Q25" s="75"/>
      <c r="R25" s="79">
        <v>30482</v>
      </c>
      <c r="S25" s="80"/>
      <c r="T25" s="81">
        <v>28</v>
      </c>
      <c r="U25" s="75"/>
      <c r="V25" s="81">
        <v>2</v>
      </c>
      <c r="X25" s="82">
        <v>26</v>
      </c>
      <c r="Y25" s="75"/>
      <c r="Z25" s="81">
        <v>28</v>
      </c>
      <c r="AA25" s="75"/>
      <c r="AB25" s="81">
        <v>4</v>
      </c>
      <c r="AD25" s="82">
        <v>24</v>
      </c>
      <c r="AF25" s="81">
        <v>56</v>
      </c>
      <c r="AG25" s="75"/>
      <c r="AH25" s="81">
        <v>16</v>
      </c>
      <c r="AJ25" s="82">
        <v>40</v>
      </c>
      <c r="AK25" s="75"/>
      <c r="AL25" s="81">
        <v>57</v>
      </c>
      <c r="AM25" s="75"/>
      <c r="AN25" s="81">
        <v>18</v>
      </c>
      <c r="AP25" s="82">
        <v>39</v>
      </c>
      <c r="AR25" s="83">
        <v>25</v>
      </c>
      <c r="AS25" s="75"/>
      <c r="AT25" s="83">
        <v>39.5</v>
      </c>
      <c r="AU25" s="75"/>
      <c r="AV25" s="84">
        <v>64.5</v>
      </c>
      <c r="AY25" s="8">
        <f t="shared" si="0"/>
        <v>2294.625</v>
      </c>
      <c r="AZ25" s="8"/>
      <c r="BA25" s="8">
        <f t="shared" si="1"/>
        <v>11744.374999999998</v>
      </c>
      <c r="BB25" s="8"/>
      <c r="BC25" s="8">
        <f t="shared" si="2"/>
        <v>16443</v>
      </c>
      <c r="BD25" s="8"/>
      <c r="BE25" s="9">
        <f t="shared" si="3"/>
        <v>30482</v>
      </c>
    </row>
    <row r="26" spans="1:57" x14ac:dyDescent="0.25">
      <c r="A26" s="72">
        <v>122474</v>
      </c>
      <c r="B26" s="73">
        <v>8922151</v>
      </c>
      <c r="C26" s="73" t="s">
        <v>161</v>
      </c>
      <c r="D26" s="73">
        <v>892</v>
      </c>
      <c r="E26" s="73" t="s">
        <v>9</v>
      </c>
      <c r="F26" s="73">
        <v>2151</v>
      </c>
      <c r="G26" s="73" t="s">
        <v>24</v>
      </c>
      <c r="H26" s="73" t="s">
        <v>127</v>
      </c>
      <c r="I26" s="73" t="s">
        <v>11</v>
      </c>
      <c r="J26" s="74">
        <v>26767</v>
      </c>
      <c r="K26" s="75"/>
      <c r="L26" s="76">
        <v>47851.499999999993</v>
      </c>
      <c r="M26" s="61"/>
      <c r="N26" s="76">
        <v>21084.499999999993</v>
      </c>
      <c r="O26" s="77"/>
      <c r="P26" s="78">
        <v>27914</v>
      </c>
      <c r="Q26" s="75"/>
      <c r="R26" s="79">
        <v>48999</v>
      </c>
      <c r="S26" s="80"/>
      <c r="T26" s="81">
        <v>43</v>
      </c>
      <c r="U26" s="75"/>
      <c r="V26" s="81">
        <v>10</v>
      </c>
      <c r="X26" s="82">
        <v>33</v>
      </c>
      <c r="Y26" s="75"/>
      <c r="Z26" s="81">
        <v>48</v>
      </c>
      <c r="AA26" s="75"/>
      <c r="AB26" s="81">
        <v>11</v>
      </c>
      <c r="AD26" s="82">
        <v>37</v>
      </c>
      <c r="AF26" s="81">
        <v>94</v>
      </c>
      <c r="AG26" s="75"/>
      <c r="AH26" s="81">
        <v>19</v>
      </c>
      <c r="AJ26" s="82">
        <v>75</v>
      </c>
      <c r="AK26" s="75"/>
      <c r="AL26" s="81">
        <v>86</v>
      </c>
      <c r="AM26" s="75"/>
      <c r="AN26" s="81">
        <v>16</v>
      </c>
      <c r="AP26" s="82">
        <v>70</v>
      </c>
      <c r="AR26" s="83">
        <v>37</v>
      </c>
      <c r="AS26" s="75"/>
      <c r="AT26" s="83">
        <v>72.5</v>
      </c>
      <c r="AU26" s="75"/>
      <c r="AV26" s="84">
        <v>109.5</v>
      </c>
      <c r="AY26" s="8">
        <f t="shared" si="0"/>
        <v>1146.8750000000036</v>
      </c>
      <c r="AZ26" s="8"/>
      <c r="BA26" s="8">
        <f t="shared" si="1"/>
        <v>19938.124999999996</v>
      </c>
      <c r="BB26" s="8"/>
      <c r="BC26" s="8">
        <f t="shared" si="2"/>
        <v>27914</v>
      </c>
      <c r="BD26" s="8"/>
      <c r="BE26" s="9">
        <f t="shared" si="3"/>
        <v>48999</v>
      </c>
    </row>
    <row r="27" spans="1:57" x14ac:dyDescent="0.25">
      <c r="A27" s="72">
        <v>122476</v>
      </c>
      <c r="B27" s="73">
        <v>8922153</v>
      </c>
      <c r="C27" s="73" t="s">
        <v>162</v>
      </c>
      <c r="D27" s="73">
        <v>892</v>
      </c>
      <c r="E27" s="73" t="s">
        <v>9</v>
      </c>
      <c r="F27" s="73">
        <v>2153</v>
      </c>
      <c r="G27" s="73" t="s">
        <v>25</v>
      </c>
      <c r="H27" s="73" t="s">
        <v>127</v>
      </c>
      <c r="I27" s="73" t="s">
        <v>11</v>
      </c>
      <c r="J27" s="74">
        <v>17080</v>
      </c>
      <c r="K27" s="75"/>
      <c r="L27" s="76">
        <v>37800.499999999993</v>
      </c>
      <c r="M27" s="61"/>
      <c r="N27" s="76">
        <v>20720.499999999993</v>
      </c>
      <c r="O27" s="77"/>
      <c r="P27" s="78">
        <v>22051</v>
      </c>
      <c r="Q27" s="75"/>
      <c r="R27" s="79">
        <v>42772</v>
      </c>
      <c r="S27" s="80"/>
      <c r="T27" s="81">
        <v>53</v>
      </c>
      <c r="U27" s="75"/>
      <c r="V27" s="81">
        <v>29</v>
      </c>
      <c r="X27" s="82">
        <v>24</v>
      </c>
      <c r="Y27" s="75"/>
      <c r="Z27" s="81">
        <v>55</v>
      </c>
      <c r="AA27" s="75"/>
      <c r="AB27" s="81">
        <v>25</v>
      </c>
      <c r="AD27" s="82">
        <v>30</v>
      </c>
      <c r="AF27" s="81">
        <v>109</v>
      </c>
      <c r="AG27" s="75"/>
      <c r="AH27" s="81">
        <v>53</v>
      </c>
      <c r="AJ27" s="82">
        <v>56</v>
      </c>
      <c r="AK27" s="75"/>
      <c r="AL27" s="81">
        <v>106</v>
      </c>
      <c r="AM27" s="75"/>
      <c r="AN27" s="81">
        <v>49</v>
      </c>
      <c r="AP27" s="82">
        <v>57</v>
      </c>
      <c r="AR27" s="83">
        <v>30</v>
      </c>
      <c r="AS27" s="75"/>
      <c r="AT27" s="83">
        <v>56.5</v>
      </c>
      <c r="AU27" s="75"/>
      <c r="AV27" s="84">
        <v>86.5</v>
      </c>
      <c r="AY27" s="8">
        <f t="shared" si="0"/>
        <v>4970.7916666666715</v>
      </c>
      <c r="AZ27" s="8"/>
      <c r="BA27" s="8">
        <f t="shared" si="1"/>
        <v>15750.20833333333</v>
      </c>
      <c r="BB27" s="8"/>
      <c r="BC27" s="8">
        <f t="shared" si="2"/>
        <v>22051</v>
      </c>
      <c r="BD27" s="8"/>
      <c r="BE27" s="9">
        <f t="shared" si="3"/>
        <v>42772</v>
      </c>
    </row>
    <row r="28" spans="1:57" x14ac:dyDescent="0.25">
      <c r="A28" s="72">
        <v>122480</v>
      </c>
      <c r="B28" s="73">
        <v>8922157</v>
      </c>
      <c r="C28" s="73" t="s">
        <v>163</v>
      </c>
      <c r="D28" s="73">
        <v>892</v>
      </c>
      <c r="E28" s="73" t="s">
        <v>9</v>
      </c>
      <c r="F28" s="73">
        <v>2157</v>
      </c>
      <c r="G28" s="73" t="s">
        <v>27</v>
      </c>
      <c r="H28" s="73" t="s">
        <v>127</v>
      </c>
      <c r="I28" s="73" t="s">
        <v>11</v>
      </c>
      <c r="J28" s="74">
        <v>25365</v>
      </c>
      <c r="K28" s="75"/>
      <c r="L28" s="76">
        <v>46758.999999999993</v>
      </c>
      <c r="M28" s="61"/>
      <c r="N28" s="76">
        <v>21393.999999999993</v>
      </c>
      <c r="O28" s="77"/>
      <c r="P28" s="78">
        <v>27277</v>
      </c>
      <c r="Q28" s="75"/>
      <c r="R28" s="79">
        <v>48671</v>
      </c>
      <c r="S28" s="80"/>
      <c r="T28" s="81">
        <v>46</v>
      </c>
      <c r="U28" s="75"/>
      <c r="V28" s="81">
        <v>7</v>
      </c>
      <c r="X28" s="82">
        <v>39</v>
      </c>
      <c r="Y28" s="75"/>
      <c r="Z28" s="81">
        <v>46</v>
      </c>
      <c r="AA28" s="75"/>
      <c r="AB28" s="81">
        <v>8</v>
      </c>
      <c r="AD28" s="82">
        <v>38</v>
      </c>
      <c r="AF28" s="81">
        <v>87</v>
      </c>
      <c r="AG28" s="75"/>
      <c r="AH28" s="81">
        <v>20</v>
      </c>
      <c r="AJ28" s="82">
        <v>67</v>
      </c>
      <c r="AK28" s="75"/>
      <c r="AL28" s="81">
        <v>89</v>
      </c>
      <c r="AM28" s="75"/>
      <c r="AN28" s="81">
        <v>19</v>
      </c>
      <c r="AP28" s="82">
        <v>70</v>
      </c>
      <c r="AR28" s="83">
        <v>38.5</v>
      </c>
      <c r="AS28" s="75"/>
      <c r="AT28" s="83">
        <v>68.5</v>
      </c>
      <c r="AU28" s="75"/>
      <c r="AV28" s="84">
        <v>107</v>
      </c>
      <c r="AY28" s="8">
        <f t="shared" si="0"/>
        <v>1911.0833333333358</v>
      </c>
      <c r="AZ28" s="8"/>
      <c r="BA28" s="8">
        <f t="shared" si="1"/>
        <v>19482.916666666664</v>
      </c>
      <c r="BB28" s="8"/>
      <c r="BC28" s="8">
        <f t="shared" si="2"/>
        <v>27277</v>
      </c>
      <c r="BD28" s="8"/>
      <c r="BE28" s="9">
        <f t="shared" si="3"/>
        <v>48671</v>
      </c>
    </row>
    <row r="29" spans="1:57" x14ac:dyDescent="0.25">
      <c r="A29" s="72">
        <v>122481</v>
      </c>
      <c r="B29" s="73">
        <v>8922158</v>
      </c>
      <c r="C29" s="73" t="s">
        <v>164</v>
      </c>
      <c r="D29" s="73">
        <v>892</v>
      </c>
      <c r="E29" s="73" t="s">
        <v>9</v>
      </c>
      <c r="F29" s="73">
        <v>2158</v>
      </c>
      <c r="G29" s="73" t="s">
        <v>128</v>
      </c>
      <c r="H29" s="73" t="s">
        <v>127</v>
      </c>
      <c r="I29" s="73" t="s">
        <v>11</v>
      </c>
      <c r="J29" s="74">
        <v>13766</v>
      </c>
      <c r="K29" s="75"/>
      <c r="L29" s="76">
        <v>32337.999999999996</v>
      </c>
      <c r="M29" s="61"/>
      <c r="N29" s="76">
        <v>18571.999999999996</v>
      </c>
      <c r="O29" s="77"/>
      <c r="P29" s="78">
        <v>18864</v>
      </c>
      <c r="Q29" s="75"/>
      <c r="R29" s="79">
        <v>37436</v>
      </c>
      <c r="S29" s="80"/>
      <c r="T29" s="81">
        <v>53</v>
      </c>
      <c r="U29" s="75"/>
      <c r="V29" s="81">
        <v>17</v>
      </c>
      <c r="X29" s="82">
        <v>36</v>
      </c>
      <c r="Y29" s="75"/>
      <c r="Z29" s="81">
        <v>58</v>
      </c>
      <c r="AA29" s="75"/>
      <c r="AB29" s="81">
        <v>23</v>
      </c>
      <c r="AD29" s="82">
        <v>35</v>
      </c>
      <c r="AF29" s="81">
        <v>57</v>
      </c>
      <c r="AG29" s="75"/>
      <c r="AH29" s="81">
        <v>20</v>
      </c>
      <c r="AJ29" s="82">
        <v>37</v>
      </c>
      <c r="AK29" s="75"/>
      <c r="AL29" s="81">
        <v>60</v>
      </c>
      <c r="AM29" s="75"/>
      <c r="AN29" s="81">
        <v>20</v>
      </c>
      <c r="AP29" s="82">
        <v>40</v>
      </c>
      <c r="AR29" s="83">
        <v>35.5</v>
      </c>
      <c r="AS29" s="75"/>
      <c r="AT29" s="83">
        <v>38.5</v>
      </c>
      <c r="AU29" s="75"/>
      <c r="AV29" s="84">
        <v>74</v>
      </c>
      <c r="AY29" s="8">
        <f t="shared" si="0"/>
        <v>5097.8333333333358</v>
      </c>
      <c r="AZ29" s="8"/>
      <c r="BA29" s="8">
        <f t="shared" si="1"/>
        <v>13474.166666666664</v>
      </c>
      <c r="BB29" s="8"/>
      <c r="BC29" s="8">
        <f t="shared" si="2"/>
        <v>18864</v>
      </c>
      <c r="BD29" s="8"/>
      <c r="BE29" s="9">
        <f t="shared" si="3"/>
        <v>37436</v>
      </c>
    </row>
    <row r="30" spans="1:57" x14ac:dyDescent="0.25">
      <c r="A30" s="72">
        <v>122486</v>
      </c>
      <c r="B30" s="73">
        <v>8922163</v>
      </c>
      <c r="C30" s="73" t="s">
        <v>165</v>
      </c>
      <c r="D30" s="73">
        <v>892</v>
      </c>
      <c r="E30" s="73" t="s">
        <v>9</v>
      </c>
      <c r="F30" s="73">
        <v>2163</v>
      </c>
      <c r="G30" s="73" t="s">
        <v>29</v>
      </c>
      <c r="H30" s="73" t="s">
        <v>127</v>
      </c>
      <c r="I30" s="73" t="s">
        <v>11</v>
      </c>
      <c r="J30" s="74">
        <v>35944</v>
      </c>
      <c r="K30" s="75"/>
      <c r="L30" s="76">
        <v>60087.499999999993</v>
      </c>
      <c r="M30" s="61"/>
      <c r="N30" s="76">
        <v>24143.499999999993</v>
      </c>
      <c r="O30" s="77"/>
      <c r="P30" s="78">
        <v>35052</v>
      </c>
      <c r="Q30" s="75"/>
      <c r="R30" s="79">
        <v>59196</v>
      </c>
      <c r="S30" s="80"/>
      <c r="T30" s="81">
        <v>54</v>
      </c>
      <c r="U30" s="75"/>
      <c r="V30" s="81">
        <v>4</v>
      </c>
      <c r="X30" s="82">
        <v>50</v>
      </c>
      <c r="Y30" s="75"/>
      <c r="Z30" s="81">
        <v>55</v>
      </c>
      <c r="AA30" s="75"/>
      <c r="AB30" s="81">
        <v>6</v>
      </c>
      <c r="AD30" s="82">
        <v>49</v>
      </c>
      <c r="AF30" s="81">
        <v>100</v>
      </c>
      <c r="AG30" s="75"/>
      <c r="AH30" s="81">
        <v>7</v>
      </c>
      <c r="AJ30" s="82">
        <v>93</v>
      </c>
      <c r="AK30" s="75"/>
      <c r="AL30" s="81">
        <v>92</v>
      </c>
      <c r="AM30" s="75"/>
      <c r="AN30" s="81">
        <v>9</v>
      </c>
      <c r="AP30" s="82">
        <v>83</v>
      </c>
      <c r="AR30" s="83">
        <v>49.5</v>
      </c>
      <c r="AS30" s="75"/>
      <c r="AT30" s="83">
        <v>88</v>
      </c>
      <c r="AU30" s="75"/>
      <c r="AV30" s="84">
        <v>137.5</v>
      </c>
      <c r="AY30" s="8">
        <f t="shared" si="0"/>
        <v>-892.45833333332848</v>
      </c>
      <c r="AZ30" s="8"/>
      <c r="BA30" s="8">
        <f t="shared" si="1"/>
        <v>25036.458333333328</v>
      </c>
      <c r="BB30" s="8"/>
      <c r="BC30" s="8">
        <f t="shared" si="2"/>
        <v>35052</v>
      </c>
      <c r="BD30" s="8"/>
      <c r="BE30" s="9">
        <f t="shared" si="3"/>
        <v>59196</v>
      </c>
    </row>
    <row r="31" spans="1:57" x14ac:dyDescent="0.25">
      <c r="A31" s="72">
        <v>122493</v>
      </c>
      <c r="B31" s="73">
        <v>8922170</v>
      </c>
      <c r="C31" s="73" t="s">
        <v>166</v>
      </c>
      <c r="D31" s="73">
        <v>892</v>
      </c>
      <c r="E31" s="73" t="s">
        <v>9</v>
      </c>
      <c r="F31" s="73">
        <v>2170</v>
      </c>
      <c r="G31" s="73" t="s">
        <v>30</v>
      </c>
      <c r="H31" s="73" t="s">
        <v>127</v>
      </c>
      <c r="I31" s="73" t="s">
        <v>11</v>
      </c>
      <c r="J31" s="74">
        <v>36836</v>
      </c>
      <c r="K31" s="75"/>
      <c r="L31" s="76">
        <v>62709.499999999993</v>
      </c>
      <c r="M31" s="61"/>
      <c r="N31" s="76">
        <v>25873.499999999993</v>
      </c>
      <c r="O31" s="77"/>
      <c r="P31" s="78">
        <v>36581</v>
      </c>
      <c r="Q31" s="75"/>
      <c r="R31" s="79">
        <v>62455</v>
      </c>
      <c r="S31" s="80"/>
      <c r="T31" s="81">
        <v>57</v>
      </c>
      <c r="U31" s="75"/>
      <c r="V31" s="81">
        <v>13</v>
      </c>
      <c r="X31" s="82">
        <v>44</v>
      </c>
      <c r="Y31" s="75"/>
      <c r="Z31" s="81">
        <v>58</v>
      </c>
      <c r="AA31" s="75"/>
      <c r="AB31" s="81">
        <v>16</v>
      </c>
      <c r="AD31" s="82">
        <v>42</v>
      </c>
      <c r="AF31" s="81">
        <v>116</v>
      </c>
      <c r="AG31" s="75"/>
      <c r="AH31" s="81">
        <v>15</v>
      </c>
      <c r="AJ31" s="82">
        <v>101</v>
      </c>
      <c r="AK31" s="75"/>
      <c r="AL31" s="81">
        <v>113</v>
      </c>
      <c r="AM31" s="75"/>
      <c r="AN31" s="81">
        <v>13</v>
      </c>
      <c r="AP31" s="82">
        <v>100</v>
      </c>
      <c r="AR31" s="83">
        <v>43</v>
      </c>
      <c r="AS31" s="75"/>
      <c r="AT31" s="83">
        <v>100.5</v>
      </c>
      <c r="AU31" s="75"/>
      <c r="AV31" s="84">
        <v>143.5</v>
      </c>
      <c r="AY31" s="8">
        <f t="shared" si="0"/>
        <v>-254.95833333332848</v>
      </c>
      <c r="AZ31" s="8"/>
      <c r="BA31" s="8">
        <f t="shared" si="1"/>
        <v>26128.958333333328</v>
      </c>
      <c r="BB31" s="8"/>
      <c r="BC31" s="8">
        <f t="shared" si="2"/>
        <v>36581</v>
      </c>
      <c r="BD31" s="8"/>
      <c r="BE31" s="9">
        <f t="shared" si="3"/>
        <v>62455</v>
      </c>
    </row>
    <row r="32" spans="1:57" x14ac:dyDescent="0.25">
      <c r="A32" s="72">
        <v>122508</v>
      </c>
      <c r="B32" s="73">
        <v>8922190</v>
      </c>
      <c r="C32" s="73" t="s">
        <v>167</v>
      </c>
      <c r="D32" s="73">
        <v>892</v>
      </c>
      <c r="E32" s="73" t="s">
        <v>9</v>
      </c>
      <c r="F32" s="73">
        <v>2190</v>
      </c>
      <c r="G32" s="73" t="s">
        <v>31</v>
      </c>
      <c r="H32" s="73" t="s">
        <v>127</v>
      </c>
      <c r="I32" s="73" t="s">
        <v>11</v>
      </c>
      <c r="J32" s="74">
        <v>13256</v>
      </c>
      <c r="K32" s="75"/>
      <c r="L32" s="76">
        <v>21412.999999999996</v>
      </c>
      <c r="M32" s="61"/>
      <c r="N32" s="76">
        <v>8156.9999999999964</v>
      </c>
      <c r="O32" s="77"/>
      <c r="P32" s="78">
        <v>12491</v>
      </c>
      <c r="Q32" s="75"/>
      <c r="R32" s="79">
        <v>20648</v>
      </c>
      <c r="S32" s="80"/>
      <c r="T32" s="81">
        <v>20</v>
      </c>
      <c r="U32" s="75"/>
      <c r="V32" s="81">
        <v>6</v>
      </c>
      <c r="X32" s="82">
        <v>14</v>
      </c>
      <c r="Y32" s="75"/>
      <c r="Z32" s="81">
        <v>21</v>
      </c>
      <c r="AA32" s="75"/>
      <c r="AB32" s="81">
        <v>8</v>
      </c>
      <c r="AD32" s="82">
        <v>13</v>
      </c>
      <c r="AF32" s="81">
        <v>42</v>
      </c>
      <c r="AG32" s="75"/>
      <c r="AH32" s="81">
        <v>7</v>
      </c>
      <c r="AJ32" s="82">
        <v>35</v>
      </c>
      <c r="AK32" s="75"/>
      <c r="AL32" s="81">
        <v>44</v>
      </c>
      <c r="AM32" s="75"/>
      <c r="AN32" s="81">
        <v>8</v>
      </c>
      <c r="AP32" s="82">
        <v>36</v>
      </c>
      <c r="AR32" s="83">
        <v>13.5</v>
      </c>
      <c r="AS32" s="75"/>
      <c r="AT32" s="83">
        <v>35.5</v>
      </c>
      <c r="AU32" s="75"/>
      <c r="AV32" s="84">
        <v>49</v>
      </c>
      <c r="AY32" s="8">
        <f t="shared" si="0"/>
        <v>-765.08333333333212</v>
      </c>
      <c r="AZ32" s="8"/>
      <c r="BA32" s="8">
        <f t="shared" si="1"/>
        <v>8922.0833333333321</v>
      </c>
      <c r="BB32" s="8"/>
      <c r="BC32" s="8">
        <f t="shared" si="2"/>
        <v>12491</v>
      </c>
      <c r="BD32" s="8"/>
      <c r="BE32" s="9">
        <f t="shared" si="3"/>
        <v>20648</v>
      </c>
    </row>
    <row r="33" spans="1:57" x14ac:dyDescent="0.25">
      <c r="A33" s="72">
        <v>122561</v>
      </c>
      <c r="B33" s="73">
        <v>8922360</v>
      </c>
      <c r="C33" s="73" t="s">
        <v>168</v>
      </c>
      <c r="D33" s="73">
        <v>892</v>
      </c>
      <c r="E33" s="73" t="s">
        <v>9</v>
      </c>
      <c r="F33" s="73">
        <v>2360</v>
      </c>
      <c r="G33" s="73" t="s">
        <v>129</v>
      </c>
      <c r="H33" s="73" t="s">
        <v>127</v>
      </c>
      <c r="I33" s="73" t="s">
        <v>11</v>
      </c>
      <c r="J33" s="74">
        <v>14276</v>
      </c>
      <c r="K33" s="75"/>
      <c r="L33" s="76">
        <v>27967.999999999996</v>
      </c>
      <c r="M33" s="61"/>
      <c r="N33" s="76">
        <v>13691.999999999996</v>
      </c>
      <c r="O33" s="77"/>
      <c r="P33" s="78">
        <v>16315</v>
      </c>
      <c r="Q33" s="75"/>
      <c r="R33" s="79">
        <v>30007</v>
      </c>
      <c r="S33" s="80"/>
      <c r="T33" s="81">
        <v>40</v>
      </c>
      <c r="U33" s="75"/>
      <c r="V33" s="81">
        <v>11</v>
      </c>
      <c r="X33" s="82">
        <v>29</v>
      </c>
      <c r="Y33" s="75"/>
      <c r="Z33" s="81">
        <v>43</v>
      </c>
      <c r="AA33" s="75"/>
      <c r="AB33" s="81">
        <v>14</v>
      </c>
      <c r="AD33" s="82">
        <v>29</v>
      </c>
      <c r="AF33" s="81">
        <v>49</v>
      </c>
      <c r="AG33" s="75"/>
      <c r="AH33" s="81">
        <v>15</v>
      </c>
      <c r="AJ33" s="82">
        <v>34</v>
      </c>
      <c r="AK33" s="75"/>
      <c r="AL33" s="81">
        <v>50</v>
      </c>
      <c r="AM33" s="75"/>
      <c r="AN33" s="81">
        <v>14</v>
      </c>
      <c r="AP33" s="82">
        <v>36</v>
      </c>
      <c r="AR33" s="83">
        <v>29</v>
      </c>
      <c r="AS33" s="75"/>
      <c r="AT33" s="83">
        <v>35</v>
      </c>
      <c r="AU33" s="75"/>
      <c r="AV33" s="84">
        <v>64</v>
      </c>
      <c r="AY33" s="8">
        <f t="shared" si="0"/>
        <v>2038.6666666666679</v>
      </c>
      <c r="AZ33" s="8"/>
      <c r="BA33" s="8">
        <f t="shared" si="1"/>
        <v>11653.333333333332</v>
      </c>
      <c r="BB33" s="8"/>
      <c r="BC33" s="8">
        <f t="shared" si="2"/>
        <v>16315</v>
      </c>
      <c r="BD33" s="8"/>
      <c r="BE33" s="9">
        <f t="shared" si="3"/>
        <v>30007</v>
      </c>
    </row>
    <row r="34" spans="1:57" x14ac:dyDescent="0.25">
      <c r="A34" s="72">
        <v>122702</v>
      </c>
      <c r="B34" s="73">
        <v>8922894</v>
      </c>
      <c r="C34" s="73" t="s">
        <v>169</v>
      </c>
      <c r="D34" s="73">
        <v>892</v>
      </c>
      <c r="E34" s="73" t="s">
        <v>9</v>
      </c>
      <c r="F34" s="73">
        <v>2894</v>
      </c>
      <c r="G34" s="73" t="s">
        <v>33</v>
      </c>
      <c r="H34" s="73" t="s">
        <v>127</v>
      </c>
      <c r="I34" s="73" t="s">
        <v>11</v>
      </c>
      <c r="J34" s="74">
        <v>32757</v>
      </c>
      <c r="K34" s="75"/>
      <c r="L34" s="76">
        <v>58994.999999999993</v>
      </c>
      <c r="M34" s="61"/>
      <c r="N34" s="76">
        <v>26237.999999999993</v>
      </c>
      <c r="O34" s="77"/>
      <c r="P34" s="78">
        <v>34414</v>
      </c>
      <c r="Q34" s="75"/>
      <c r="R34" s="79">
        <v>60652</v>
      </c>
      <c r="S34" s="80"/>
      <c r="T34" s="81">
        <v>44</v>
      </c>
      <c r="U34" s="75"/>
      <c r="V34" s="81">
        <v>11</v>
      </c>
      <c r="X34" s="82">
        <v>33</v>
      </c>
      <c r="Y34" s="75"/>
      <c r="Z34" s="81">
        <v>47</v>
      </c>
      <c r="AA34" s="75"/>
      <c r="AB34" s="81">
        <v>9</v>
      </c>
      <c r="AD34" s="82">
        <v>38</v>
      </c>
      <c r="AF34" s="81">
        <v>111</v>
      </c>
      <c r="AG34" s="75"/>
      <c r="AH34" s="81">
        <v>15</v>
      </c>
      <c r="AJ34" s="82">
        <v>96</v>
      </c>
      <c r="AK34" s="75"/>
      <c r="AL34" s="81">
        <v>110</v>
      </c>
      <c r="AM34" s="75"/>
      <c r="AN34" s="81">
        <v>12</v>
      </c>
      <c r="AP34" s="82">
        <v>98</v>
      </c>
      <c r="AR34" s="83">
        <v>38</v>
      </c>
      <c r="AS34" s="75"/>
      <c r="AT34" s="83">
        <v>97</v>
      </c>
      <c r="AU34" s="75"/>
      <c r="AV34" s="84">
        <v>135</v>
      </c>
      <c r="AY34" s="8">
        <f t="shared" si="0"/>
        <v>1656.75</v>
      </c>
      <c r="AZ34" s="8"/>
      <c r="BA34" s="8">
        <f t="shared" si="1"/>
        <v>24581.249999999996</v>
      </c>
      <c r="BB34" s="8"/>
      <c r="BC34" s="8">
        <f t="shared" si="2"/>
        <v>34414</v>
      </c>
      <c r="BD34" s="8"/>
      <c r="BE34" s="9">
        <f t="shared" si="3"/>
        <v>60652</v>
      </c>
    </row>
    <row r="35" spans="1:57" x14ac:dyDescent="0.25">
      <c r="A35" s="72">
        <v>122703</v>
      </c>
      <c r="B35" s="73">
        <v>8922897</v>
      </c>
      <c r="C35" s="73" t="s">
        <v>170</v>
      </c>
      <c r="D35" s="73">
        <v>892</v>
      </c>
      <c r="E35" s="73" t="s">
        <v>9</v>
      </c>
      <c r="F35" s="73">
        <v>2897</v>
      </c>
      <c r="G35" s="73" t="s">
        <v>34</v>
      </c>
      <c r="H35" s="73" t="s">
        <v>127</v>
      </c>
      <c r="I35" s="73" t="s">
        <v>11</v>
      </c>
      <c r="J35" s="74">
        <v>7521</v>
      </c>
      <c r="K35" s="75"/>
      <c r="L35" s="76">
        <v>12235.999999999998</v>
      </c>
      <c r="M35" s="61"/>
      <c r="N35" s="76">
        <v>4714.9999999999982</v>
      </c>
      <c r="O35" s="77"/>
      <c r="P35" s="78">
        <v>7138</v>
      </c>
      <c r="Q35" s="75"/>
      <c r="R35" s="79">
        <v>11853</v>
      </c>
      <c r="S35" s="80"/>
      <c r="T35" s="81">
        <v>20</v>
      </c>
      <c r="U35" s="75"/>
      <c r="V35" s="81">
        <v>9</v>
      </c>
      <c r="X35" s="82">
        <v>11</v>
      </c>
      <c r="Y35" s="75"/>
      <c r="Z35" s="81">
        <v>18</v>
      </c>
      <c r="AA35" s="75"/>
      <c r="AB35" s="81">
        <v>7</v>
      </c>
      <c r="AD35" s="82">
        <v>11</v>
      </c>
      <c r="AF35" s="81">
        <v>37</v>
      </c>
      <c r="AG35" s="75"/>
      <c r="AH35" s="81">
        <v>23</v>
      </c>
      <c r="AJ35" s="82">
        <v>14</v>
      </c>
      <c r="AK35" s="75"/>
      <c r="AL35" s="81">
        <v>41</v>
      </c>
      <c r="AM35" s="75"/>
      <c r="AN35" s="81">
        <v>21</v>
      </c>
      <c r="AP35" s="82">
        <v>20</v>
      </c>
      <c r="AR35" s="83">
        <v>11</v>
      </c>
      <c r="AS35" s="75"/>
      <c r="AT35" s="83">
        <v>17</v>
      </c>
      <c r="AU35" s="75"/>
      <c r="AV35" s="84">
        <v>28</v>
      </c>
      <c r="AY35" s="8">
        <f t="shared" si="0"/>
        <v>-383.33333333333212</v>
      </c>
      <c r="AZ35" s="8"/>
      <c r="BA35" s="8">
        <f t="shared" si="1"/>
        <v>5098.3333333333321</v>
      </c>
      <c r="BB35" s="8"/>
      <c r="BC35" s="8">
        <f t="shared" si="2"/>
        <v>7138</v>
      </c>
      <c r="BD35" s="8"/>
      <c r="BE35" s="9">
        <f t="shared" si="3"/>
        <v>11853</v>
      </c>
    </row>
    <row r="36" spans="1:57" x14ac:dyDescent="0.25">
      <c r="A36" s="72">
        <v>122721</v>
      </c>
      <c r="B36" s="73">
        <v>8922917</v>
      </c>
      <c r="C36" s="73" t="s">
        <v>171</v>
      </c>
      <c r="D36" s="73">
        <v>892</v>
      </c>
      <c r="E36" s="73" t="s">
        <v>9</v>
      </c>
      <c r="F36" s="73">
        <v>2917</v>
      </c>
      <c r="G36" s="73" t="s">
        <v>35</v>
      </c>
      <c r="H36" s="73" t="s">
        <v>127</v>
      </c>
      <c r="I36" s="73" t="s">
        <v>11</v>
      </c>
      <c r="J36" s="74">
        <v>9815</v>
      </c>
      <c r="K36" s="75"/>
      <c r="L36" s="76">
        <v>20101.999999999996</v>
      </c>
      <c r="M36" s="61"/>
      <c r="N36" s="76">
        <v>10286.999999999996</v>
      </c>
      <c r="O36" s="77"/>
      <c r="P36" s="78">
        <v>11727</v>
      </c>
      <c r="Q36" s="75"/>
      <c r="R36" s="79">
        <v>22014</v>
      </c>
      <c r="S36" s="80"/>
      <c r="T36" s="81">
        <v>29</v>
      </c>
      <c r="U36" s="75"/>
      <c r="V36" s="81">
        <v>13</v>
      </c>
      <c r="X36" s="82">
        <v>16</v>
      </c>
      <c r="Y36" s="75"/>
      <c r="Z36" s="81">
        <v>28</v>
      </c>
      <c r="AA36" s="75"/>
      <c r="AB36" s="81">
        <v>15</v>
      </c>
      <c r="AD36" s="82">
        <v>13</v>
      </c>
      <c r="AF36" s="81">
        <v>56</v>
      </c>
      <c r="AG36" s="75"/>
      <c r="AH36" s="81">
        <v>27</v>
      </c>
      <c r="AJ36" s="82">
        <v>29</v>
      </c>
      <c r="AK36" s="75"/>
      <c r="AL36" s="81">
        <v>57</v>
      </c>
      <c r="AM36" s="75"/>
      <c r="AN36" s="81">
        <v>23</v>
      </c>
      <c r="AP36" s="82">
        <v>34</v>
      </c>
      <c r="AR36" s="83">
        <v>14.5</v>
      </c>
      <c r="AS36" s="75"/>
      <c r="AT36" s="83">
        <v>31.5</v>
      </c>
      <c r="AU36" s="75"/>
      <c r="AV36" s="84">
        <v>46</v>
      </c>
      <c r="AY36" s="8">
        <f t="shared" si="0"/>
        <v>1911.1666666666679</v>
      </c>
      <c r="AZ36" s="8"/>
      <c r="BA36" s="8">
        <f t="shared" si="1"/>
        <v>8375.8333333333321</v>
      </c>
      <c r="BB36" s="8"/>
      <c r="BC36" s="8">
        <f t="shared" si="2"/>
        <v>11727</v>
      </c>
      <c r="BD36" s="8"/>
      <c r="BE36" s="9">
        <f t="shared" si="3"/>
        <v>22014</v>
      </c>
    </row>
    <row r="37" spans="1:57" x14ac:dyDescent="0.25">
      <c r="A37" s="72">
        <v>122733</v>
      </c>
      <c r="B37" s="73">
        <v>8922929</v>
      </c>
      <c r="C37" s="73" t="s">
        <v>172</v>
      </c>
      <c r="D37" s="73">
        <v>892</v>
      </c>
      <c r="E37" s="73" t="s">
        <v>9</v>
      </c>
      <c r="F37" s="73">
        <v>2929</v>
      </c>
      <c r="G37" s="73" t="s">
        <v>36</v>
      </c>
      <c r="H37" s="73" t="s">
        <v>127</v>
      </c>
      <c r="I37" s="73" t="s">
        <v>11</v>
      </c>
      <c r="J37" s="74">
        <v>50092</v>
      </c>
      <c r="K37" s="75"/>
      <c r="L37" s="76">
        <v>65331.499999999993</v>
      </c>
      <c r="M37" s="61"/>
      <c r="N37" s="76">
        <v>15239.499999999993</v>
      </c>
      <c r="O37" s="77"/>
      <c r="P37" s="78">
        <v>38111</v>
      </c>
      <c r="Q37" s="75"/>
      <c r="R37" s="79">
        <v>53351</v>
      </c>
      <c r="S37" s="80"/>
      <c r="T37" s="81">
        <v>60</v>
      </c>
      <c r="U37" s="75"/>
      <c r="V37" s="81">
        <v>9</v>
      </c>
      <c r="X37" s="82">
        <v>51</v>
      </c>
      <c r="Y37" s="75"/>
      <c r="Z37" s="81">
        <v>38</v>
      </c>
      <c r="AA37" s="75"/>
      <c r="AB37" s="81">
        <v>11</v>
      </c>
      <c r="AD37" s="82">
        <v>27</v>
      </c>
      <c r="AF37" s="81">
        <v>159</v>
      </c>
      <c r="AG37" s="75"/>
      <c r="AH37" s="81">
        <v>30</v>
      </c>
      <c r="AJ37" s="82">
        <v>129</v>
      </c>
      <c r="AK37" s="75"/>
      <c r="AL37" s="81">
        <v>115</v>
      </c>
      <c r="AM37" s="75"/>
      <c r="AN37" s="81">
        <v>23</v>
      </c>
      <c r="AP37" s="82">
        <v>92</v>
      </c>
      <c r="AR37" s="83">
        <v>39</v>
      </c>
      <c r="AS37" s="75"/>
      <c r="AT37" s="83">
        <v>110.5</v>
      </c>
      <c r="AU37" s="75"/>
      <c r="AV37" s="84">
        <v>149.5</v>
      </c>
      <c r="AY37" s="8">
        <f t="shared" si="0"/>
        <v>-11981.458333333328</v>
      </c>
      <c r="AZ37" s="8"/>
      <c r="BA37" s="8">
        <f t="shared" si="1"/>
        <v>27221.458333333328</v>
      </c>
      <c r="BB37" s="8"/>
      <c r="BC37" s="8">
        <f t="shared" si="2"/>
        <v>38111</v>
      </c>
      <c r="BD37" s="8"/>
      <c r="BE37" s="9">
        <f t="shared" si="3"/>
        <v>53351</v>
      </c>
    </row>
    <row r="38" spans="1:57" x14ac:dyDescent="0.25">
      <c r="A38" s="72">
        <v>122739</v>
      </c>
      <c r="B38" s="73">
        <v>8922935</v>
      </c>
      <c r="C38" s="73" t="s">
        <v>173</v>
      </c>
      <c r="D38" s="73">
        <v>892</v>
      </c>
      <c r="E38" s="73" t="s">
        <v>9</v>
      </c>
      <c r="F38" s="73">
        <v>2935</v>
      </c>
      <c r="G38" s="73" t="s">
        <v>37</v>
      </c>
      <c r="H38" s="73" t="s">
        <v>127</v>
      </c>
      <c r="I38" s="73" t="s">
        <v>11</v>
      </c>
      <c r="J38" s="74">
        <v>24600</v>
      </c>
      <c r="K38" s="75"/>
      <c r="L38" s="76">
        <v>47195.999999999993</v>
      </c>
      <c r="M38" s="61"/>
      <c r="N38" s="76">
        <v>22595.999999999993</v>
      </c>
      <c r="O38" s="77"/>
      <c r="P38" s="78">
        <v>27531</v>
      </c>
      <c r="Q38" s="75"/>
      <c r="R38" s="79">
        <v>50127</v>
      </c>
      <c r="S38" s="80"/>
      <c r="T38" s="81">
        <v>57</v>
      </c>
      <c r="U38" s="75"/>
      <c r="V38" s="81">
        <v>16</v>
      </c>
      <c r="X38" s="82">
        <v>41</v>
      </c>
      <c r="Y38" s="75"/>
      <c r="Z38" s="81">
        <v>55</v>
      </c>
      <c r="AA38" s="75"/>
      <c r="AB38" s="81">
        <v>18</v>
      </c>
      <c r="AD38" s="82">
        <v>37</v>
      </c>
      <c r="AF38" s="81">
        <v>94</v>
      </c>
      <c r="AG38" s="75"/>
      <c r="AH38" s="81">
        <v>31</v>
      </c>
      <c r="AJ38" s="82">
        <v>63</v>
      </c>
      <c r="AK38" s="75"/>
      <c r="AL38" s="81">
        <v>103</v>
      </c>
      <c r="AM38" s="75"/>
      <c r="AN38" s="81">
        <v>28</v>
      </c>
      <c r="AP38" s="82">
        <v>75</v>
      </c>
      <c r="AR38" s="83">
        <v>39</v>
      </c>
      <c r="AS38" s="75"/>
      <c r="AT38" s="83">
        <v>69</v>
      </c>
      <c r="AU38" s="75"/>
      <c r="AV38" s="84">
        <v>108</v>
      </c>
      <c r="AY38" s="8">
        <f t="shared" si="0"/>
        <v>2931.0000000000036</v>
      </c>
      <c r="AZ38" s="8"/>
      <c r="BA38" s="8">
        <f t="shared" si="1"/>
        <v>19664.999999999996</v>
      </c>
      <c r="BB38" s="8"/>
      <c r="BC38" s="8">
        <f t="shared" si="2"/>
        <v>27531</v>
      </c>
      <c r="BD38" s="8"/>
      <c r="BE38" s="9">
        <f t="shared" si="3"/>
        <v>50127</v>
      </c>
    </row>
    <row r="39" spans="1:57" x14ac:dyDescent="0.25">
      <c r="A39" s="72">
        <v>122777</v>
      </c>
      <c r="B39" s="73">
        <v>8923312</v>
      </c>
      <c r="C39" s="73" t="s">
        <v>174</v>
      </c>
      <c r="D39" s="73">
        <v>892</v>
      </c>
      <c r="E39" s="73" t="s">
        <v>9</v>
      </c>
      <c r="F39" s="73">
        <v>3312</v>
      </c>
      <c r="G39" s="73" t="s">
        <v>40</v>
      </c>
      <c r="H39" s="73" t="s">
        <v>127</v>
      </c>
      <c r="I39" s="73" t="s">
        <v>39</v>
      </c>
      <c r="J39" s="74">
        <v>32757</v>
      </c>
      <c r="K39" s="75"/>
      <c r="L39" s="76">
        <v>67516.499999999985</v>
      </c>
      <c r="M39" s="61"/>
      <c r="N39" s="76">
        <v>34759.499999999985</v>
      </c>
      <c r="O39" s="77"/>
      <c r="P39" s="78">
        <v>39385</v>
      </c>
      <c r="Q39" s="75"/>
      <c r="R39" s="79">
        <v>74145</v>
      </c>
      <c r="S39" s="80"/>
      <c r="T39" s="81">
        <v>58</v>
      </c>
      <c r="U39" s="75"/>
      <c r="V39" s="81">
        <v>3</v>
      </c>
      <c r="X39" s="82">
        <v>55</v>
      </c>
      <c r="Y39" s="75"/>
      <c r="Z39" s="81">
        <v>58</v>
      </c>
      <c r="AA39" s="75"/>
      <c r="AB39" s="81">
        <v>2</v>
      </c>
      <c r="AD39" s="82">
        <v>56</v>
      </c>
      <c r="AF39" s="81">
        <v>103</v>
      </c>
      <c r="AG39" s="75"/>
      <c r="AH39" s="81">
        <v>3</v>
      </c>
      <c r="AJ39" s="82">
        <v>100</v>
      </c>
      <c r="AK39" s="75"/>
      <c r="AL39" s="81">
        <v>101</v>
      </c>
      <c r="AM39" s="75"/>
      <c r="AN39" s="81">
        <v>4</v>
      </c>
      <c r="AP39" s="82">
        <v>97</v>
      </c>
      <c r="AR39" s="83">
        <v>56</v>
      </c>
      <c r="AS39" s="75"/>
      <c r="AT39" s="83">
        <v>98.5</v>
      </c>
      <c r="AU39" s="75"/>
      <c r="AV39" s="84">
        <v>154.5</v>
      </c>
      <c r="AY39" s="8">
        <f t="shared" si="0"/>
        <v>6628.125</v>
      </c>
      <c r="AZ39" s="8"/>
      <c r="BA39" s="8">
        <f t="shared" si="1"/>
        <v>28131.874999999996</v>
      </c>
      <c r="BB39" s="8"/>
      <c r="BC39" s="8">
        <f t="shared" si="2"/>
        <v>39385</v>
      </c>
      <c r="BD39" s="8"/>
      <c r="BE39" s="9">
        <f t="shared" si="3"/>
        <v>74145</v>
      </c>
    </row>
    <row r="40" spans="1:57" x14ac:dyDescent="0.25">
      <c r="A40" s="72">
        <v>122964</v>
      </c>
      <c r="B40" s="73">
        <v>8927035</v>
      </c>
      <c r="C40" s="73" t="s">
        <v>175</v>
      </c>
      <c r="D40" s="73">
        <v>892</v>
      </c>
      <c r="E40" s="73" t="s">
        <v>9</v>
      </c>
      <c r="F40" s="73">
        <v>7035</v>
      </c>
      <c r="G40" s="73" t="s">
        <v>41</v>
      </c>
      <c r="H40" s="73" t="s">
        <v>127</v>
      </c>
      <c r="I40" s="73" t="s">
        <v>42</v>
      </c>
      <c r="J40" s="74">
        <v>383</v>
      </c>
      <c r="K40" s="75"/>
      <c r="L40" s="76">
        <v>1966.4999999999998</v>
      </c>
      <c r="M40" s="61"/>
      <c r="N40" s="76">
        <v>1583.4999999999998</v>
      </c>
      <c r="O40" s="77"/>
      <c r="P40" s="78">
        <v>1148</v>
      </c>
      <c r="Q40" s="75"/>
      <c r="R40" s="79">
        <v>2732</v>
      </c>
      <c r="S40" s="80"/>
      <c r="T40" s="81">
        <v>0</v>
      </c>
      <c r="U40" s="75"/>
      <c r="V40" s="81">
        <v>0</v>
      </c>
      <c r="X40" s="82">
        <v>0</v>
      </c>
      <c r="Y40" s="75"/>
      <c r="Z40" s="81">
        <v>0</v>
      </c>
      <c r="AA40" s="75"/>
      <c r="AB40" s="81">
        <v>0</v>
      </c>
      <c r="AD40" s="82">
        <v>0</v>
      </c>
      <c r="AF40" s="81">
        <v>10</v>
      </c>
      <c r="AG40" s="75"/>
      <c r="AH40" s="81">
        <v>5</v>
      </c>
      <c r="AJ40" s="82">
        <v>5</v>
      </c>
      <c r="AK40" s="75"/>
      <c r="AL40" s="81">
        <v>8</v>
      </c>
      <c r="AM40" s="75"/>
      <c r="AN40" s="81">
        <v>4</v>
      </c>
      <c r="AP40" s="82">
        <v>4</v>
      </c>
      <c r="AR40" s="83">
        <v>0</v>
      </c>
      <c r="AS40" s="75"/>
      <c r="AT40" s="83">
        <v>4.5</v>
      </c>
      <c r="AU40" s="75"/>
      <c r="AV40" s="84">
        <v>4.5</v>
      </c>
      <c r="AY40" s="8">
        <f t="shared" si="0"/>
        <v>764.625</v>
      </c>
      <c r="AZ40" s="8"/>
      <c r="BA40" s="8">
        <f t="shared" si="1"/>
        <v>819.37499999999989</v>
      </c>
      <c r="BB40" s="8"/>
      <c r="BC40" s="8">
        <f t="shared" si="2"/>
        <v>1148</v>
      </c>
      <c r="BD40" s="8"/>
      <c r="BE40" s="9">
        <f t="shared" si="3"/>
        <v>2732</v>
      </c>
    </row>
    <row r="41" spans="1:57" x14ac:dyDescent="0.25">
      <c r="A41" s="72">
        <v>131005</v>
      </c>
      <c r="B41" s="73">
        <v>8923326</v>
      </c>
      <c r="C41" s="73" t="s">
        <v>176</v>
      </c>
      <c r="D41" s="73">
        <v>892</v>
      </c>
      <c r="E41" s="73" t="s">
        <v>9</v>
      </c>
      <c r="F41" s="73">
        <v>3326</v>
      </c>
      <c r="G41" s="73" t="s">
        <v>43</v>
      </c>
      <c r="H41" s="73" t="s">
        <v>127</v>
      </c>
      <c r="I41" s="73" t="s">
        <v>11</v>
      </c>
      <c r="J41" s="74">
        <v>20904</v>
      </c>
      <c r="K41" s="75"/>
      <c r="L41" s="76">
        <v>50691.999999999993</v>
      </c>
      <c r="M41" s="61"/>
      <c r="N41" s="76">
        <v>29787.999999999993</v>
      </c>
      <c r="O41" s="77"/>
      <c r="P41" s="78">
        <v>29571</v>
      </c>
      <c r="Q41" s="75"/>
      <c r="R41" s="79">
        <v>59359</v>
      </c>
      <c r="S41" s="80"/>
      <c r="T41" s="81">
        <v>58</v>
      </c>
      <c r="U41" s="75"/>
      <c r="V41" s="81">
        <v>20</v>
      </c>
      <c r="X41" s="82">
        <v>38</v>
      </c>
      <c r="Y41" s="75"/>
      <c r="Z41" s="81">
        <v>55</v>
      </c>
      <c r="AA41" s="75"/>
      <c r="AB41" s="81">
        <v>18</v>
      </c>
      <c r="AD41" s="82">
        <v>37</v>
      </c>
      <c r="AF41" s="81">
        <v>111</v>
      </c>
      <c r="AG41" s="75"/>
      <c r="AH41" s="81">
        <v>33</v>
      </c>
      <c r="AJ41" s="82">
        <v>78</v>
      </c>
      <c r="AK41" s="75"/>
      <c r="AL41" s="81">
        <v>112</v>
      </c>
      <c r="AM41" s="75"/>
      <c r="AN41" s="81">
        <v>33</v>
      </c>
      <c r="AP41" s="82">
        <v>79</v>
      </c>
      <c r="AR41" s="83">
        <v>37.5</v>
      </c>
      <c r="AS41" s="75"/>
      <c r="AT41" s="83">
        <v>78.5</v>
      </c>
      <c r="AU41" s="75"/>
      <c r="AV41" s="84">
        <v>116</v>
      </c>
      <c r="AY41" s="8">
        <f t="shared" si="0"/>
        <v>8666.3333333333358</v>
      </c>
      <c r="AZ41" s="8"/>
      <c r="BA41" s="8">
        <f t="shared" si="1"/>
        <v>21121.666666666664</v>
      </c>
      <c r="BB41" s="8"/>
      <c r="BC41" s="8">
        <f t="shared" si="2"/>
        <v>29571</v>
      </c>
      <c r="BD41" s="8"/>
      <c r="BE41" s="9">
        <f t="shared" si="3"/>
        <v>59359</v>
      </c>
    </row>
    <row r="42" spans="1:57" x14ac:dyDescent="0.25">
      <c r="A42" s="72">
        <v>131006</v>
      </c>
      <c r="B42" s="73">
        <v>8923327</v>
      </c>
      <c r="C42" s="73" t="s">
        <v>177</v>
      </c>
      <c r="D42" s="73">
        <v>892</v>
      </c>
      <c r="E42" s="73" t="s">
        <v>9</v>
      </c>
      <c r="F42" s="73">
        <v>3327</v>
      </c>
      <c r="G42" s="73" t="s">
        <v>44</v>
      </c>
      <c r="H42" s="73" t="s">
        <v>127</v>
      </c>
      <c r="I42" s="73" t="s">
        <v>11</v>
      </c>
      <c r="J42" s="74">
        <v>19502</v>
      </c>
      <c r="K42" s="75"/>
      <c r="L42" s="76">
        <v>30589.999999999996</v>
      </c>
      <c r="M42" s="61"/>
      <c r="N42" s="76">
        <v>11087.999999999996</v>
      </c>
      <c r="O42" s="77"/>
      <c r="P42" s="78">
        <v>17845</v>
      </c>
      <c r="Q42" s="75"/>
      <c r="R42" s="79">
        <v>28933</v>
      </c>
      <c r="S42" s="80"/>
      <c r="T42" s="81">
        <v>23</v>
      </c>
      <c r="U42" s="75"/>
      <c r="V42" s="81">
        <v>7</v>
      </c>
      <c r="X42" s="82">
        <v>16</v>
      </c>
      <c r="Y42" s="75"/>
      <c r="Z42" s="81">
        <v>24</v>
      </c>
      <c r="AA42" s="75"/>
      <c r="AB42" s="81">
        <v>8</v>
      </c>
      <c r="AD42" s="82">
        <v>16</v>
      </c>
      <c r="AF42" s="81">
        <v>74</v>
      </c>
      <c r="AG42" s="75"/>
      <c r="AH42" s="81">
        <v>23</v>
      </c>
      <c r="AJ42" s="82">
        <v>51</v>
      </c>
      <c r="AK42" s="75"/>
      <c r="AL42" s="81">
        <v>78</v>
      </c>
      <c r="AM42" s="75"/>
      <c r="AN42" s="81">
        <v>21</v>
      </c>
      <c r="AP42" s="82">
        <v>57</v>
      </c>
      <c r="AR42" s="83">
        <v>16</v>
      </c>
      <c r="AS42" s="75"/>
      <c r="AT42" s="83">
        <v>54</v>
      </c>
      <c r="AU42" s="75"/>
      <c r="AV42" s="84">
        <v>70</v>
      </c>
      <c r="AY42" s="8">
        <f t="shared" si="0"/>
        <v>-1657.8333333333321</v>
      </c>
      <c r="AZ42" s="8"/>
      <c r="BA42" s="8">
        <f t="shared" si="1"/>
        <v>12745.833333333332</v>
      </c>
      <c r="BB42" s="8"/>
      <c r="BC42" s="8">
        <f t="shared" si="2"/>
        <v>17845</v>
      </c>
      <c r="BD42" s="8"/>
      <c r="BE42" s="9">
        <f t="shared" si="3"/>
        <v>28933</v>
      </c>
    </row>
    <row r="43" spans="1:57" x14ac:dyDescent="0.25">
      <c r="A43" s="72">
        <v>131007</v>
      </c>
      <c r="B43" s="73">
        <v>8923329</v>
      </c>
      <c r="C43" s="73" t="s">
        <v>178</v>
      </c>
      <c r="D43" s="73">
        <v>892</v>
      </c>
      <c r="E43" s="73" t="s">
        <v>9</v>
      </c>
      <c r="F43" s="73">
        <v>3329</v>
      </c>
      <c r="G43" s="73" t="s">
        <v>45</v>
      </c>
      <c r="H43" s="73" t="s">
        <v>127</v>
      </c>
      <c r="I43" s="73" t="s">
        <v>11</v>
      </c>
      <c r="J43" s="74">
        <v>35944</v>
      </c>
      <c r="K43" s="75"/>
      <c r="L43" s="76">
        <v>64020.499999999993</v>
      </c>
      <c r="M43" s="61"/>
      <c r="N43" s="76">
        <v>28076.499999999993</v>
      </c>
      <c r="O43" s="77"/>
      <c r="P43" s="78">
        <v>37346</v>
      </c>
      <c r="Q43" s="75"/>
      <c r="R43" s="79">
        <v>65423</v>
      </c>
      <c r="S43" s="80"/>
      <c r="T43" s="81">
        <v>60</v>
      </c>
      <c r="U43" s="75"/>
      <c r="V43" s="81">
        <v>8</v>
      </c>
      <c r="X43" s="82">
        <v>52</v>
      </c>
      <c r="Y43" s="75"/>
      <c r="Z43" s="81">
        <v>60</v>
      </c>
      <c r="AA43" s="75"/>
      <c r="AB43" s="81">
        <v>9</v>
      </c>
      <c r="AD43" s="82">
        <v>51</v>
      </c>
      <c r="AF43" s="81">
        <v>121</v>
      </c>
      <c r="AG43" s="75"/>
      <c r="AH43" s="81">
        <v>28</v>
      </c>
      <c r="AJ43" s="82">
        <v>93</v>
      </c>
      <c r="AK43" s="75"/>
      <c r="AL43" s="81">
        <v>121</v>
      </c>
      <c r="AM43" s="75"/>
      <c r="AN43" s="81">
        <v>24</v>
      </c>
      <c r="AP43" s="82">
        <v>97</v>
      </c>
      <c r="AR43" s="83">
        <v>51.5</v>
      </c>
      <c r="AS43" s="75"/>
      <c r="AT43" s="83">
        <v>95</v>
      </c>
      <c r="AU43" s="75"/>
      <c r="AV43" s="84">
        <v>146.5</v>
      </c>
      <c r="AY43" s="8">
        <f t="shared" si="0"/>
        <v>1401.7916666666715</v>
      </c>
      <c r="AZ43" s="8"/>
      <c r="BA43" s="8">
        <f t="shared" si="1"/>
        <v>26675.208333333328</v>
      </c>
      <c r="BB43" s="8"/>
      <c r="BC43" s="8">
        <f t="shared" si="2"/>
        <v>37346</v>
      </c>
      <c r="BD43" s="8"/>
      <c r="BE43" s="9">
        <f t="shared" si="3"/>
        <v>65423</v>
      </c>
    </row>
    <row r="44" spans="1:57" x14ac:dyDescent="0.25">
      <c r="A44" s="72">
        <v>131017</v>
      </c>
      <c r="B44" s="73">
        <v>8923328</v>
      </c>
      <c r="C44" s="73" t="s">
        <v>179</v>
      </c>
      <c r="D44" s="73">
        <v>892</v>
      </c>
      <c r="E44" s="73" t="s">
        <v>9</v>
      </c>
      <c r="F44" s="73">
        <v>3328</v>
      </c>
      <c r="G44" s="73" t="s">
        <v>46</v>
      </c>
      <c r="H44" s="73" t="s">
        <v>127</v>
      </c>
      <c r="I44" s="73" t="s">
        <v>11</v>
      </c>
      <c r="J44" s="74">
        <v>13129</v>
      </c>
      <c r="K44" s="75"/>
      <c r="L44" s="76">
        <v>26001.499999999996</v>
      </c>
      <c r="M44" s="61"/>
      <c r="N44" s="76">
        <v>12872.499999999996</v>
      </c>
      <c r="O44" s="77"/>
      <c r="P44" s="78">
        <v>15168</v>
      </c>
      <c r="Q44" s="75"/>
      <c r="R44" s="79">
        <v>28041</v>
      </c>
      <c r="S44" s="80"/>
      <c r="T44" s="81">
        <v>28</v>
      </c>
      <c r="U44" s="75"/>
      <c r="V44" s="81">
        <v>7</v>
      </c>
      <c r="X44" s="82">
        <v>21</v>
      </c>
      <c r="Y44" s="75"/>
      <c r="Z44" s="81">
        <v>25</v>
      </c>
      <c r="AA44" s="75"/>
      <c r="AB44" s="81">
        <v>8</v>
      </c>
      <c r="AD44" s="82">
        <v>17</v>
      </c>
      <c r="AF44" s="81">
        <v>55</v>
      </c>
      <c r="AG44" s="75"/>
      <c r="AH44" s="81">
        <v>17</v>
      </c>
      <c r="AJ44" s="82">
        <v>38</v>
      </c>
      <c r="AK44" s="75"/>
      <c r="AL44" s="81">
        <v>57</v>
      </c>
      <c r="AM44" s="75"/>
      <c r="AN44" s="81">
        <v>14</v>
      </c>
      <c r="AP44" s="82">
        <v>43</v>
      </c>
      <c r="AR44" s="83">
        <v>19</v>
      </c>
      <c r="AS44" s="75"/>
      <c r="AT44" s="83">
        <v>40.5</v>
      </c>
      <c r="AU44" s="75"/>
      <c r="AV44" s="84">
        <v>59.5</v>
      </c>
      <c r="AY44" s="8">
        <f t="shared" si="0"/>
        <v>2039.0416666666679</v>
      </c>
      <c r="AZ44" s="8"/>
      <c r="BA44" s="8">
        <f t="shared" si="1"/>
        <v>10833.958333333332</v>
      </c>
      <c r="BB44" s="8"/>
      <c r="BC44" s="8">
        <f t="shared" si="2"/>
        <v>15168</v>
      </c>
      <c r="BD44" s="8"/>
      <c r="BE44" s="9">
        <f t="shared" si="3"/>
        <v>28041</v>
      </c>
    </row>
    <row r="45" spans="1:57" x14ac:dyDescent="0.25">
      <c r="A45" s="72">
        <v>133164</v>
      </c>
      <c r="B45" s="73">
        <v>8921109</v>
      </c>
      <c r="C45" s="73" t="s">
        <v>180</v>
      </c>
      <c r="D45" s="73">
        <v>892</v>
      </c>
      <c r="E45" s="73" t="s">
        <v>9</v>
      </c>
      <c r="F45" s="73">
        <v>1109</v>
      </c>
      <c r="G45" s="73" t="s">
        <v>130</v>
      </c>
      <c r="H45" s="73" t="s">
        <v>127</v>
      </c>
      <c r="I45" s="73" t="s">
        <v>131</v>
      </c>
      <c r="J45" s="74">
        <v>0</v>
      </c>
      <c r="K45" s="75"/>
      <c r="L45" s="76">
        <v>1747.9999999999998</v>
      </c>
      <c r="M45" s="61"/>
      <c r="N45" s="76">
        <v>1747.9999999999998</v>
      </c>
      <c r="O45" s="77"/>
      <c r="P45" s="78">
        <v>1020</v>
      </c>
      <c r="Q45" s="75"/>
      <c r="R45" s="79">
        <v>2768</v>
      </c>
      <c r="S45" s="80"/>
      <c r="T45" s="81">
        <v>2</v>
      </c>
      <c r="U45" s="75"/>
      <c r="V45" s="81">
        <v>0</v>
      </c>
      <c r="X45" s="82">
        <v>2</v>
      </c>
      <c r="Y45" s="75"/>
      <c r="Z45" s="81">
        <v>0</v>
      </c>
      <c r="AA45" s="75"/>
      <c r="AB45" s="81">
        <v>0</v>
      </c>
      <c r="AD45" s="82">
        <v>0</v>
      </c>
      <c r="AF45" s="81">
        <v>6</v>
      </c>
      <c r="AG45" s="75"/>
      <c r="AH45" s="81">
        <v>0</v>
      </c>
      <c r="AJ45" s="82">
        <v>6</v>
      </c>
      <c r="AK45" s="75"/>
      <c r="AL45" s="81">
        <v>0</v>
      </c>
      <c r="AM45" s="75"/>
      <c r="AN45" s="81">
        <v>0</v>
      </c>
      <c r="AP45" s="82">
        <v>0</v>
      </c>
      <c r="AR45" s="83">
        <v>1</v>
      </c>
      <c r="AS45" s="75"/>
      <c r="AT45" s="83">
        <v>3</v>
      </c>
      <c r="AU45" s="75"/>
      <c r="AV45" s="84">
        <v>4</v>
      </c>
      <c r="AY45" s="8">
        <f t="shared" si="0"/>
        <v>1019.6666666666667</v>
      </c>
      <c r="AZ45" s="8"/>
      <c r="BA45" s="8">
        <f t="shared" si="1"/>
        <v>728.33333333333326</v>
      </c>
      <c r="BB45" s="8"/>
      <c r="BC45" s="8">
        <f t="shared" si="2"/>
        <v>1020</v>
      </c>
      <c r="BD45" s="8"/>
      <c r="BE45" s="9">
        <f t="shared" si="3"/>
        <v>2768</v>
      </c>
    </row>
    <row r="46" spans="1:57" x14ac:dyDescent="0.25">
      <c r="A46" s="72">
        <v>134841</v>
      </c>
      <c r="B46" s="73">
        <v>8923323</v>
      </c>
      <c r="C46" s="73" t="s">
        <v>181</v>
      </c>
      <c r="D46" s="73">
        <v>892</v>
      </c>
      <c r="E46" s="73" t="s">
        <v>9</v>
      </c>
      <c r="F46" s="73">
        <v>3323</v>
      </c>
      <c r="G46" s="73" t="s">
        <v>47</v>
      </c>
      <c r="H46" s="73" t="s">
        <v>127</v>
      </c>
      <c r="I46" s="73" t="s">
        <v>11</v>
      </c>
      <c r="J46" s="74">
        <v>28806</v>
      </c>
      <c r="K46" s="75"/>
      <c r="L46" s="76">
        <v>51347.499999999993</v>
      </c>
      <c r="M46" s="61"/>
      <c r="N46" s="76">
        <v>22541.499999999993</v>
      </c>
      <c r="O46" s="77"/>
      <c r="P46" s="78">
        <v>29953</v>
      </c>
      <c r="Q46" s="75"/>
      <c r="R46" s="79">
        <v>52495</v>
      </c>
      <c r="S46" s="80"/>
      <c r="T46" s="81">
        <v>42</v>
      </c>
      <c r="U46" s="75"/>
      <c r="V46" s="81">
        <v>6</v>
      </c>
      <c r="X46" s="82">
        <v>36</v>
      </c>
      <c r="Y46" s="75"/>
      <c r="Z46" s="81">
        <v>40</v>
      </c>
      <c r="AA46" s="75"/>
      <c r="AB46" s="81">
        <v>9</v>
      </c>
      <c r="AD46" s="82">
        <v>31</v>
      </c>
      <c r="AF46" s="81">
        <v>107</v>
      </c>
      <c r="AG46" s="75"/>
      <c r="AH46" s="81">
        <v>22</v>
      </c>
      <c r="AJ46" s="82">
        <v>85</v>
      </c>
      <c r="AK46" s="75"/>
      <c r="AL46" s="81">
        <v>108</v>
      </c>
      <c r="AM46" s="75"/>
      <c r="AN46" s="81">
        <v>25</v>
      </c>
      <c r="AP46" s="82">
        <v>83</v>
      </c>
      <c r="AR46" s="83">
        <v>33.5</v>
      </c>
      <c r="AS46" s="75"/>
      <c r="AT46" s="83">
        <v>84</v>
      </c>
      <c r="AU46" s="75"/>
      <c r="AV46" s="84">
        <v>117.5</v>
      </c>
      <c r="AY46" s="8">
        <f t="shared" si="0"/>
        <v>1147.2083333333358</v>
      </c>
      <c r="AZ46" s="8"/>
      <c r="BA46" s="8">
        <f t="shared" si="1"/>
        <v>21394.791666666664</v>
      </c>
      <c r="BB46" s="8"/>
      <c r="BC46" s="8">
        <f t="shared" si="2"/>
        <v>29953</v>
      </c>
      <c r="BD46" s="8"/>
      <c r="BE46" s="9">
        <f t="shared" si="3"/>
        <v>52495</v>
      </c>
    </row>
    <row r="47" spans="1:57" x14ac:dyDescent="0.25">
      <c r="A47" s="72">
        <v>134842</v>
      </c>
      <c r="B47" s="73">
        <v>8923324</v>
      </c>
      <c r="C47" s="73" t="s">
        <v>182</v>
      </c>
      <c r="D47" s="73">
        <v>892</v>
      </c>
      <c r="E47" s="73" t="s">
        <v>9</v>
      </c>
      <c r="F47" s="73">
        <v>3324</v>
      </c>
      <c r="G47" s="73" t="s">
        <v>48</v>
      </c>
      <c r="H47" s="73" t="s">
        <v>127</v>
      </c>
      <c r="I47" s="73" t="s">
        <v>11</v>
      </c>
      <c r="J47" s="74">
        <v>13893</v>
      </c>
      <c r="K47" s="75"/>
      <c r="L47" s="76">
        <v>23816.499999999996</v>
      </c>
      <c r="M47" s="61"/>
      <c r="N47" s="76">
        <v>9923.4999999999964</v>
      </c>
      <c r="O47" s="77"/>
      <c r="P47" s="78">
        <v>13893</v>
      </c>
      <c r="Q47" s="75"/>
      <c r="R47" s="79">
        <v>23817</v>
      </c>
      <c r="S47" s="80"/>
      <c r="T47" s="81">
        <v>28</v>
      </c>
      <c r="U47" s="75"/>
      <c r="V47" s="81">
        <v>8</v>
      </c>
      <c r="X47" s="82">
        <v>20</v>
      </c>
      <c r="Y47" s="75"/>
      <c r="Z47" s="81">
        <v>28</v>
      </c>
      <c r="AA47" s="75"/>
      <c r="AB47" s="81">
        <v>7</v>
      </c>
      <c r="AD47" s="82">
        <v>21</v>
      </c>
      <c r="AF47" s="81">
        <v>57</v>
      </c>
      <c r="AG47" s="75"/>
      <c r="AH47" s="81">
        <v>23</v>
      </c>
      <c r="AJ47" s="82">
        <v>34</v>
      </c>
      <c r="AK47" s="75"/>
      <c r="AL47" s="81">
        <v>57</v>
      </c>
      <c r="AM47" s="75"/>
      <c r="AN47" s="81">
        <v>24</v>
      </c>
      <c r="AP47" s="82">
        <v>33</v>
      </c>
      <c r="AR47" s="83">
        <v>21</v>
      </c>
      <c r="AS47" s="75"/>
      <c r="AT47" s="83">
        <v>33.5</v>
      </c>
      <c r="AU47" s="75"/>
      <c r="AV47" s="84">
        <v>54.5</v>
      </c>
      <c r="AY47" s="8">
        <f t="shared" si="0"/>
        <v>0.45833333333575865</v>
      </c>
      <c r="AZ47" s="8"/>
      <c r="BA47" s="8">
        <f t="shared" si="1"/>
        <v>9923.5416666666642</v>
      </c>
      <c r="BB47" s="8"/>
      <c r="BC47" s="8">
        <f t="shared" si="2"/>
        <v>13893</v>
      </c>
      <c r="BD47" s="8"/>
      <c r="BE47" s="9">
        <f t="shared" si="3"/>
        <v>23817</v>
      </c>
    </row>
    <row r="48" spans="1:57" x14ac:dyDescent="0.25">
      <c r="A48" s="72">
        <v>135573</v>
      </c>
      <c r="B48" s="73">
        <v>8927042</v>
      </c>
      <c r="C48" s="73" t="s">
        <v>183</v>
      </c>
      <c r="D48" s="73">
        <v>892</v>
      </c>
      <c r="E48" s="73" t="s">
        <v>9</v>
      </c>
      <c r="F48" s="73">
        <v>7042</v>
      </c>
      <c r="G48" s="73" t="s">
        <v>49</v>
      </c>
      <c r="H48" s="73" t="s">
        <v>127</v>
      </c>
      <c r="I48" s="73" t="s">
        <v>42</v>
      </c>
      <c r="J48" s="74">
        <v>1785</v>
      </c>
      <c r="K48" s="75"/>
      <c r="L48" s="76">
        <v>3277.4999999999995</v>
      </c>
      <c r="M48" s="61"/>
      <c r="N48" s="76">
        <v>1492.4999999999995</v>
      </c>
      <c r="O48" s="77"/>
      <c r="P48" s="78">
        <v>1912</v>
      </c>
      <c r="Q48" s="75"/>
      <c r="R48" s="79">
        <v>3405</v>
      </c>
      <c r="S48" s="80"/>
      <c r="T48" s="81">
        <v>2</v>
      </c>
      <c r="U48" s="75"/>
      <c r="V48" s="81">
        <v>2</v>
      </c>
      <c r="X48" s="82">
        <v>0</v>
      </c>
      <c r="Y48" s="75"/>
      <c r="Z48" s="81">
        <v>3</v>
      </c>
      <c r="AA48" s="75"/>
      <c r="AB48" s="81">
        <v>2</v>
      </c>
      <c r="AD48" s="82">
        <v>1</v>
      </c>
      <c r="AF48" s="81">
        <v>12</v>
      </c>
      <c r="AG48" s="75"/>
      <c r="AH48" s="81">
        <v>5</v>
      </c>
      <c r="AJ48" s="82">
        <v>7</v>
      </c>
      <c r="AK48" s="75"/>
      <c r="AL48" s="81">
        <v>11</v>
      </c>
      <c r="AM48" s="75"/>
      <c r="AN48" s="81">
        <v>5</v>
      </c>
      <c r="AP48" s="82">
        <v>6</v>
      </c>
      <c r="AR48" s="83">
        <v>1</v>
      </c>
      <c r="AS48" s="75"/>
      <c r="AT48" s="83">
        <v>6.5</v>
      </c>
      <c r="AU48" s="75"/>
      <c r="AV48" s="84">
        <v>7.5</v>
      </c>
      <c r="AY48" s="8">
        <f t="shared" si="0"/>
        <v>127.37500000000023</v>
      </c>
      <c r="AZ48" s="8"/>
      <c r="BA48" s="8">
        <f t="shared" si="1"/>
        <v>1365.6249999999998</v>
      </c>
      <c r="BB48" s="8"/>
      <c r="BC48" s="8">
        <f t="shared" si="2"/>
        <v>1912</v>
      </c>
      <c r="BD48" s="8"/>
      <c r="BE48" s="9">
        <f t="shared" si="3"/>
        <v>3405</v>
      </c>
    </row>
    <row r="49" spans="1:57" x14ac:dyDescent="0.25">
      <c r="A49" s="72">
        <v>136232</v>
      </c>
      <c r="B49" s="73">
        <v>8923332</v>
      </c>
      <c r="C49" s="73" t="s">
        <v>184</v>
      </c>
      <c r="D49" s="73">
        <v>892</v>
      </c>
      <c r="E49" s="73" t="s">
        <v>9</v>
      </c>
      <c r="F49" s="73">
        <v>3332</v>
      </c>
      <c r="G49" s="73" t="s">
        <v>50</v>
      </c>
      <c r="H49" s="73" t="s">
        <v>127</v>
      </c>
      <c r="I49" s="73" t="s">
        <v>11</v>
      </c>
      <c r="J49" s="74">
        <v>22816</v>
      </c>
      <c r="K49" s="75"/>
      <c r="L49" s="76">
        <v>41514.999999999993</v>
      </c>
      <c r="M49" s="61"/>
      <c r="N49" s="76">
        <v>18698.999999999993</v>
      </c>
      <c r="O49" s="77"/>
      <c r="P49" s="78">
        <v>24218</v>
      </c>
      <c r="Q49" s="75"/>
      <c r="R49" s="79">
        <v>42917</v>
      </c>
      <c r="S49" s="80"/>
      <c r="T49" s="81">
        <v>54</v>
      </c>
      <c r="U49" s="75"/>
      <c r="V49" s="81">
        <v>22</v>
      </c>
      <c r="X49" s="82">
        <v>32</v>
      </c>
      <c r="Y49" s="75"/>
      <c r="Z49" s="81">
        <v>54</v>
      </c>
      <c r="AA49" s="75"/>
      <c r="AB49" s="81">
        <v>22</v>
      </c>
      <c r="AD49" s="82">
        <v>32</v>
      </c>
      <c r="AF49" s="81">
        <v>115</v>
      </c>
      <c r="AG49" s="75"/>
      <c r="AH49" s="81">
        <v>54</v>
      </c>
      <c r="AJ49" s="82">
        <v>61</v>
      </c>
      <c r="AK49" s="75"/>
      <c r="AL49" s="81">
        <v>113</v>
      </c>
      <c r="AM49" s="75"/>
      <c r="AN49" s="81">
        <v>48</v>
      </c>
      <c r="AP49" s="82">
        <v>65</v>
      </c>
      <c r="AR49" s="83">
        <v>32</v>
      </c>
      <c r="AS49" s="75"/>
      <c r="AT49" s="83">
        <v>63</v>
      </c>
      <c r="AU49" s="75"/>
      <c r="AV49" s="84">
        <v>95</v>
      </c>
      <c r="AY49" s="8">
        <f t="shared" si="0"/>
        <v>1401.0833333333358</v>
      </c>
      <c r="AZ49" s="8"/>
      <c r="BA49" s="8">
        <f t="shared" si="1"/>
        <v>17297.916666666664</v>
      </c>
      <c r="BB49" s="8"/>
      <c r="BC49" s="8">
        <f t="shared" si="2"/>
        <v>24218</v>
      </c>
      <c r="BD49" s="8"/>
      <c r="BE49" s="9">
        <f t="shared" si="3"/>
        <v>42917</v>
      </c>
    </row>
    <row r="50" spans="1:57" x14ac:dyDescent="0.25">
      <c r="A50" s="72">
        <v>139429</v>
      </c>
      <c r="B50" s="73">
        <v>8922006</v>
      </c>
      <c r="C50" s="73" t="s">
        <v>185</v>
      </c>
      <c r="D50" s="73">
        <v>892</v>
      </c>
      <c r="E50" s="73" t="s">
        <v>9</v>
      </c>
      <c r="F50" s="73">
        <v>2006</v>
      </c>
      <c r="G50" s="73" t="s">
        <v>132</v>
      </c>
      <c r="H50" s="73" t="s">
        <v>127</v>
      </c>
      <c r="I50" s="73" t="s">
        <v>11</v>
      </c>
      <c r="J50" s="74">
        <v>55955</v>
      </c>
      <c r="K50" s="75"/>
      <c r="L50" s="76">
        <v>91551.499999999985</v>
      </c>
      <c r="M50" s="61"/>
      <c r="N50" s="76">
        <v>35596.499999999985</v>
      </c>
      <c r="O50" s="77"/>
      <c r="P50" s="78">
        <v>53406</v>
      </c>
      <c r="Q50" s="75"/>
      <c r="R50" s="79">
        <v>89003</v>
      </c>
      <c r="S50" s="80"/>
      <c r="T50" s="81">
        <v>81</v>
      </c>
      <c r="U50" s="75"/>
      <c r="V50" s="81">
        <v>3</v>
      </c>
      <c r="X50" s="82">
        <v>78</v>
      </c>
      <c r="Y50" s="75"/>
      <c r="Z50" s="81">
        <v>78</v>
      </c>
      <c r="AA50" s="75"/>
      <c r="AB50" s="81">
        <v>13</v>
      </c>
      <c r="AD50" s="82">
        <v>65</v>
      </c>
      <c r="AF50" s="81">
        <v>171</v>
      </c>
      <c r="AG50" s="75"/>
      <c r="AH50" s="81">
        <v>32</v>
      </c>
      <c r="AJ50" s="82">
        <v>139</v>
      </c>
      <c r="AK50" s="75"/>
      <c r="AL50" s="81">
        <v>167</v>
      </c>
      <c r="AM50" s="75"/>
      <c r="AN50" s="81">
        <v>30</v>
      </c>
      <c r="AP50" s="82">
        <v>137</v>
      </c>
      <c r="AR50" s="83">
        <v>71.5</v>
      </c>
      <c r="AS50" s="75"/>
      <c r="AT50" s="83">
        <v>138</v>
      </c>
      <c r="AU50" s="75"/>
      <c r="AV50" s="84">
        <v>209.5</v>
      </c>
      <c r="AY50" s="8">
        <f t="shared" si="0"/>
        <v>-2549.4583333333285</v>
      </c>
      <c r="AZ50" s="8"/>
      <c r="BA50" s="8">
        <f t="shared" si="1"/>
        <v>38146.458333333328</v>
      </c>
      <c r="BB50" s="8"/>
      <c r="BC50" s="8">
        <f t="shared" si="2"/>
        <v>53406</v>
      </c>
      <c r="BD50" s="8"/>
      <c r="BE50" s="9">
        <f t="shared" si="3"/>
        <v>89003</v>
      </c>
    </row>
    <row r="51" spans="1:57" x14ac:dyDescent="0.25">
      <c r="A51" s="72">
        <v>139430</v>
      </c>
      <c r="B51" s="73">
        <v>8922007</v>
      </c>
      <c r="C51" s="73" t="s">
        <v>186</v>
      </c>
      <c r="D51" s="73">
        <v>892</v>
      </c>
      <c r="E51" s="73" t="s">
        <v>9</v>
      </c>
      <c r="F51" s="73">
        <v>2007</v>
      </c>
      <c r="G51" s="73" t="s">
        <v>52</v>
      </c>
      <c r="H51" s="73" t="s">
        <v>127</v>
      </c>
      <c r="I51" s="73" t="s">
        <v>11</v>
      </c>
      <c r="J51" s="74">
        <v>40150</v>
      </c>
      <c r="K51" s="75"/>
      <c r="L51" s="76">
        <v>55935.999999999993</v>
      </c>
      <c r="M51" s="61"/>
      <c r="N51" s="76">
        <v>15785.999999999993</v>
      </c>
      <c r="O51" s="77"/>
      <c r="P51" s="78">
        <v>32630</v>
      </c>
      <c r="Q51" s="75"/>
      <c r="R51" s="79">
        <v>48416</v>
      </c>
      <c r="S51" s="80"/>
      <c r="T51" s="81">
        <v>53</v>
      </c>
      <c r="U51" s="75"/>
      <c r="V51" s="81">
        <v>13</v>
      </c>
      <c r="X51" s="82">
        <v>40</v>
      </c>
      <c r="Y51" s="75"/>
      <c r="Z51" s="81">
        <v>53</v>
      </c>
      <c r="AA51" s="75"/>
      <c r="AB51" s="81">
        <v>11</v>
      </c>
      <c r="AD51" s="82">
        <v>42</v>
      </c>
      <c r="AF51" s="81">
        <v>108</v>
      </c>
      <c r="AG51" s="75"/>
      <c r="AH51" s="81">
        <v>24</v>
      </c>
      <c r="AJ51" s="82">
        <v>84</v>
      </c>
      <c r="AK51" s="75"/>
      <c r="AL51" s="81">
        <v>110</v>
      </c>
      <c r="AM51" s="75"/>
      <c r="AN51" s="81">
        <v>22</v>
      </c>
      <c r="AP51" s="82">
        <v>88</v>
      </c>
      <c r="AR51" s="83">
        <v>42</v>
      </c>
      <c r="AS51" s="75"/>
      <c r="AT51" s="83">
        <v>86</v>
      </c>
      <c r="AU51" s="75"/>
      <c r="AV51" s="84">
        <v>128</v>
      </c>
      <c r="AY51" s="8">
        <f t="shared" si="0"/>
        <v>-7520.6666666666642</v>
      </c>
      <c r="AZ51" s="8"/>
      <c r="BA51" s="8">
        <f t="shared" si="1"/>
        <v>23306.666666666664</v>
      </c>
      <c r="BB51" s="8"/>
      <c r="BC51" s="8">
        <f t="shared" si="2"/>
        <v>32630</v>
      </c>
      <c r="BD51" s="8"/>
      <c r="BE51" s="9">
        <f t="shared" si="3"/>
        <v>48416</v>
      </c>
    </row>
    <row r="52" spans="1:57" x14ac:dyDescent="0.25">
      <c r="A52" s="72">
        <v>142223</v>
      </c>
      <c r="B52" s="73">
        <v>8922016</v>
      </c>
      <c r="C52" s="73" t="s">
        <v>187</v>
      </c>
      <c r="D52" s="73">
        <v>892</v>
      </c>
      <c r="E52" s="73" t="s">
        <v>9</v>
      </c>
      <c r="F52" s="73">
        <v>2016</v>
      </c>
      <c r="G52" s="73" t="s">
        <v>133</v>
      </c>
      <c r="H52" s="73" t="s">
        <v>127</v>
      </c>
      <c r="I52" s="73" t="s">
        <v>11</v>
      </c>
      <c r="J52" s="74">
        <v>88966</v>
      </c>
      <c r="K52" s="75"/>
      <c r="L52" s="76">
        <v>168681.99999999997</v>
      </c>
      <c r="M52" s="61"/>
      <c r="N52" s="76">
        <v>79715.999999999971</v>
      </c>
      <c r="O52" s="77"/>
      <c r="P52" s="78">
        <v>98398</v>
      </c>
      <c r="Q52" s="75"/>
      <c r="R52" s="79">
        <v>178114</v>
      </c>
      <c r="S52" s="80"/>
      <c r="T52" s="81">
        <v>147</v>
      </c>
      <c r="U52" s="75"/>
      <c r="V52" s="81">
        <v>3</v>
      </c>
      <c r="X52" s="82">
        <v>144</v>
      </c>
      <c r="Y52" s="75"/>
      <c r="Z52" s="81">
        <v>138</v>
      </c>
      <c r="AA52" s="75"/>
      <c r="AB52" s="81">
        <v>3</v>
      </c>
      <c r="AD52" s="82">
        <v>135</v>
      </c>
      <c r="AF52" s="81">
        <v>257</v>
      </c>
      <c r="AG52" s="75"/>
      <c r="AH52" s="81">
        <v>12</v>
      </c>
      <c r="AJ52" s="82">
        <v>245</v>
      </c>
      <c r="AK52" s="75"/>
      <c r="AL52" s="81">
        <v>260</v>
      </c>
      <c r="AM52" s="75"/>
      <c r="AN52" s="81">
        <v>12</v>
      </c>
      <c r="AP52" s="82">
        <v>248</v>
      </c>
      <c r="AR52" s="83">
        <v>139.5</v>
      </c>
      <c r="AS52" s="75"/>
      <c r="AT52" s="83">
        <v>246.5</v>
      </c>
      <c r="AU52" s="75"/>
      <c r="AV52" s="84">
        <v>386</v>
      </c>
      <c r="AY52" s="8">
        <f t="shared" si="0"/>
        <v>9431.833333333343</v>
      </c>
      <c r="AZ52" s="8"/>
      <c r="BA52" s="8">
        <f t="shared" si="1"/>
        <v>70284.166666666657</v>
      </c>
      <c r="BB52" s="8"/>
      <c r="BC52" s="8">
        <f t="shared" si="2"/>
        <v>98398</v>
      </c>
      <c r="BD52" s="8"/>
      <c r="BE52" s="9">
        <f t="shared" si="3"/>
        <v>178114</v>
      </c>
    </row>
    <row r="54" spans="1:57" x14ac:dyDescent="0.25">
      <c r="J54" s="85">
        <f t="shared" ref="J54" si="4">SUM(J15:J53)</f>
        <v>955831</v>
      </c>
      <c r="K54" s="85">
        <f t="shared" ref="K54" si="5">SUM(K15:K53)</f>
        <v>0</v>
      </c>
      <c r="L54" s="85">
        <f t="shared" ref="L54:Q54" si="6">SUM(L15:L53)</f>
        <v>1716098.9999999998</v>
      </c>
      <c r="M54" s="85">
        <f t="shared" si="6"/>
        <v>0</v>
      </c>
      <c r="N54" s="85">
        <f t="shared" si="6"/>
        <v>760267.99999999988</v>
      </c>
      <c r="O54" s="85">
        <f t="shared" si="6"/>
        <v>0</v>
      </c>
      <c r="P54" s="85">
        <f t="shared" si="6"/>
        <v>1001077</v>
      </c>
      <c r="Q54" s="85">
        <f t="shared" si="6"/>
        <v>0</v>
      </c>
      <c r="R54" s="85">
        <f>SUM(R15:R53)</f>
        <v>1761355</v>
      </c>
      <c r="S54" s="85">
        <f t="shared" ref="S54:BE54" si="7">SUM(S15:S53)</f>
        <v>0</v>
      </c>
      <c r="T54" s="85">
        <f t="shared" si="7"/>
        <v>1686</v>
      </c>
      <c r="U54" s="85">
        <f t="shared" si="7"/>
        <v>0</v>
      </c>
      <c r="V54" s="85">
        <f t="shared" si="7"/>
        <v>346</v>
      </c>
      <c r="W54" s="85">
        <f t="shared" si="7"/>
        <v>0</v>
      </c>
      <c r="X54" s="85">
        <f t="shared" si="7"/>
        <v>1340</v>
      </c>
      <c r="Y54" s="85">
        <f t="shared" si="7"/>
        <v>0</v>
      </c>
      <c r="Z54" s="85">
        <f t="shared" si="7"/>
        <v>1661</v>
      </c>
      <c r="AA54" s="85">
        <f t="shared" si="7"/>
        <v>0</v>
      </c>
      <c r="AB54" s="85">
        <f t="shared" si="7"/>
        <v>375</v>
      </c>
      <c r="AC54" s="85">
        <f t="shared" si="7"/>
        <v>0</v>
      </c>
      <c r="AD54" s="85">
        <f t="shared" si="7"/>
        <v>1286</v>
      </c>
      <c r="AE54" s="85">
        <f t="shared" si="7"/>
        <v>0</v>
      </c>
      <c r="AF54" s="85">
        <f t="shared" si="7"/>
        <v>3332</v>
      </c>
      <c r="AG54" s="85">
        <f t="shared" si="7"/>
        <v>0</v>
      </c>
      <c r="AH54" s="85">
        <f t="shared" si="7"/>
        <v>744</v>
      </c>
      <c r="AI54" s="85">
        <f t="shared" si="7"/>
        <v>0</v>
      </c>
      <c r="AJ54" s="85">
        <f t="shared" si="7"/>
        <v>2588</v>
      </c>
      <c r="AK54" s="85">
        <f t="shared" si="7"/>
        <v>0</v>
      </c>
      <c r="AL54" s="85">
        <f t="shared" si="7"/>
        <v>3322</v>
      </c>
      <c r="AM54" s="85">
        <f t="shared" si="7"/>
        <v>0</v>
      </c>
      <c r="AN54" s="85">
        <f t="shared" si="7"/>
        <v>713</v>
      </c>
      <c r="AO54" s="85">
        <f t="shared" si="7"/>
        <v>0</v>
      </c>
      <c r="AP54" s="85">
        <f t="shared" si="7"/>
        <v>2609</v>
      </c>
      <c r="AQ54" s="85">
        <f t="shared" si="7"/>
        <v>0</v>
      </c>
      <c r="AR54" s="85">
        <f t="shared" si="7"/>
        <v>1328.5</v>
      </c>
      <c r="AS54" s="85">
        <f t="shared" si="7"/>
        <v>0</v>
      </c>
      <c r="AT54" s="85">
        <f t="shared" si="7"/>
        <v>2598.5</v>
      </c>
      <c r="AU54" s="85">
        <f t="shared" si="7"/>
        <v>0</v>
      </c>
      <c r="AV54" s="85">
        <f t="shared" si="7"/>
        <v>3927</v>
      </c>
      <c r="AW54" s="85">
        <f t="shared" si="7"/>
        <v>0</v>
      </c>
      <c r="AX54" s="85">
        <f t="shared" si="7"/>
        <v>0</v>
      </c>
      <c r="AY54" s="85">
        <f t="shared" si="7"/>
        <v>45236.750000000124</v>
      </c>
      <c r="AZ54" s="85">
        <f t="shared" si="7"/>
        <v>0</v>
      </c>
      <c r="BA54" s="85">
        <f t="shared" si="7"/>
        <v>715041.24999999977</v>
      </c>
      <c r="BB54" s="85">
        <f t="shared" si="7"/>
        <v>0</v>
      </c>
      <c r="BC54" s="85">
        <f t="shared" si="7"/>
        <v>1001077</v>
      </c>
      <c r="BD54" s="85">
        <f t="shared" si="7"/>
        <v>0</v>
      </c>
      <c r="BE54" s="85">
        <f t="shared" si="7"/>
        <v>1761355</v>
      </c>
    </row>
  </sheetData>
  <sheetProtection algorithmName="SHA-512" hashValue="6aGB1Dk0SLZKnA7X+aSBES3NIMujWTz1Yyu++LQcbmev/3tzfZNJ8ZjTtG0tEdYaVHUdShqxDPdpSKaFcwmI0g==" saltValue="DFDgL5TBU6rUPmkNmYAvUg==" spinCount="100000" sheet="1" objects="1" scenarios="1"/>
  <mergeCells count="4">
    <mergeCell ref="A13:I13"/>
    <mergeCell ref="J13:R13"/>
    <mergeCell ref="S13:AV13"/>
    <mergeCell ref="AX13:BE13"/>
  </mergeCells>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7"/>
  <sheetViews>
    <sheetView topLeftCell="E25" workbookViewId="0">
      <selection activeCell="I52" sqref="I52"/>
    </sheetView>
  </sheetViews>
  <sheetFormatPr defaultRowHeight="15" x14ac:dyDescent="0.25"/>
  <cols>
    <col min="1" max="1" width="2.42578125" hidden="1" customWidth="1"/>
    <col min="2" max="4" width="9.140625" hidden="1" customWidth="1"/>
    <col min="5" max="5" width="9.28515625" bestFit="1" customWidth="1"/>
    <col min="6" max="6" width="44" customWidth="1"/>
    <col min="7" max="7" width="25" customWidth="1"/>
    <col min="8" max="8" width="26.28515625" bestFit="1" customWidth="1"/>
    <col min="9" max="9" width="40.140625" customWidth="1"/>
    <col min="11" max="11" width="9.85546875" bestFit="1" customWidth="1"/>
    <col min="12" max="12" width="9.28515625" bestFit="1" customWidth="1"/>
    <col min="14" max="14" width="23.140625" style="46" customWidth="1"/>
    <col min="17" max="17" width="9.28515625" bestFit="1" customWidth="1"/>
    <col min="20" max="20" width="9.85546875" bestFit="1" customWidth="1"/>
    <col min="21" max="21" width="12.140625" customWidth="1"/>
    <col min="23" max="23" width="8.5703125" customWidth="1"/>
    <col min="24" max="24" width="11.42578125" customWidth="1"/>
    <col min="257" max="260" width="0" hidden="1" customWidth="1"/>
    <col min="261" max="261" width="9.28515625" bestFit="1" customWidth="1"/>
    <col min="262" max="262" width="44" customWidth="1"/>
    <col min="263" max="263" width="25" customWidth="1"/>
    <col min="264" max="264" width="26.28515625" bestFit="1" customWidth="1"/>
    <col min="265" max="265" width="40.140625" customWidth="1"/>
    <col min="267" max="267" width="9.85546875" bestFit="1" customWidth="1"/>
    <col min="268" max="268" width="9.28515625" bestFit="1" customWidth="1"/>
    <col min="270" max="270" width="23.140625" customWidth="1"/>
    <col min="273" max="273" width="9.28515625" bestFit="1" customWidth="1"/>
    <col min="276" max="276" width="9.85546875" bestFit="1" customWidth="1"/>
    <col min="277" max="277" width="12.140625" customWidth="1"/>
    <col min="279" max="279" width="8.5703125" customWidth="1"/>
    <col min="280" max="280" width="11.42578125" customWidth="1"/>
    <col min="513" max="516" width="0" hidden="1" customWidth="1"/>
    <col min="517" max="517" width="9.28515625" bestFit="1" customWidth="1"/>
    <col min="518" max="518" width="44" customWidth="1"/>
    <col min="519" max="519" width="25" customWidth="1"/>
    <col min="520" max="520" width="26.28515625" bestFit="1" customWidth="1"/>
    <col min="521" max="521" width="40.140625" customWidth="1"/>
    <col min="523" max="523" width="9.85546875" bestFit="1" customWidth="1"/>
    <col min="524" max="524" width="9.28515625" bestFit="1" customWidth="1"/>
    <col min="526" max="526" width="23.140625" customWidth="1"/>
    <col min="529" max="529" width="9.28515625" bestFit="1" customWidth="1"/>
    <col min="532" max="532" width="9.85546875" bestFit="1" customWidth="1"/>
    <col min="533" max="533" width="12.140625" customWidth="1"/>
    <col min="535" max="535" width="8.5703125" customWidth="1"/>
    <col min="536" max="536" width="11.42578125" customWidth="1"/>
    <col min="769" max="772" width="0" hidden="1" customWidth="1"/>
    <col min="773" max="773" width="9.28515625" bestFit="1" customWidth="1"/>
    <col min="774" max="774" width="44" customWidth="1"/>
    <col min="775" max="775" width="25" customWidth="1"/>
    <col min="776" max="776" width="26.28515625" bestFit="1" customWidth="1"/>
    <col min="777" max="777" width="40.140625" customWidth="1"/>
    <col min="779" max="779" width="9.85546875" bestFit="1" customWidth="1"/>
    <col min="780" max="780" width="9.28515625" bestFit="1" customWidth="1"/>
    <col min="782" max="782" width="23.140625" customWidth="1"/>
    <col min="785" max="785" width="9.28515625" bestFit="1" customWidth="1"/>
    <col min="788" max="788" width="9.85546875" bestFit="1" customWidth="1"/>
    <col min="789" max="789" width="12.140625" customWidth="1"/>
    <col min="791" max="791" width="8.5703125" customWidth="1"/>
    <col min="792" max="792" width="11.42578125" customWidth="1"/>
    <col min="1025" max="1028" width="0" hidden="1" customWidth="1"/>
    <col min="1029" max="1029" width="9.28515625" bestFit="1" customWidth="1"/>
    <col min="1030" max="1030" width="44" customWidth="1"/>
    <col min="1031" max="1031" width="25" customWidth="1"/>
    <col min="1032" max="1032" width="26.28515625" bestFit="1" customWidth="1"/>
    <col min="1033" max="1033" width="40.140625" customWidth="1"/>
    <col min="1035" max="1035" width="9.85546875" bestFit="1" customWidth="1"/>
    <col min="1036" max="1036" width="9.28515625" bestFit="1" customWidth="1"/>
    <col min="1038" max="1038" width="23.140625" customWidth="1"/>
    <col min="1041" max="1041" width="9.28515625" bestFit="1" customWidth="1"/>
    <col min="1044" max="1044" width="9.85546875" bestFit="1" customWidth="1"/>
    <col min="1045" max="1045" width="12.140625" customWidth="1"/>
    <col min="1047" max="1047" width="8.5703125" customWidth="1"/>
    <col min="1048" max="1048" width="11.42578125" customWidth="1"/>
    <col min="1281" max="1284" width="0" hidden="1" customWidth="1"/>
    <col min="1285" max="1285" width="9.28515625" bestFit="1" customWidth="1"/>
    <col min="1286" max="1286" width="44" customWidth="1"/>
    <col min="1287" max="1287" width="25" customWidth="1"/>
    <col min="1288" max="1288" width="26.28515625" bestFit="1" customWidth="1"/>
    <col min="1289" max="1289" width="40.140625" customWidth="1"/>
    <col min="1291" max="1291" width="9.85546875" bestFit="1" customWidth="1"/>
    <col min="1292" max="1292" width="9.28515625" bestFit="1" customWidth="1"/>
    <col min="1294" max="1294" width="23.140625" customWidth="1"/>
    <col min="1297" max="1297" width="9.28515625" bestFit="1" customWidth="1"/>
    <col min="1300" max="1300" width="9.85546875" bestFit="1" customWidth="1"/>
    <col min="1301" max="1301" width="12.140625" customWidth="1"/>
    <col min="1303" max="1303" width="8.5703125" customWidth="1"/>
    <col min="1304" max="1304" width="11.42578125" customWidth="1"/>
    <col min="1537" max="1540" width="0" hidden="1" customWidth="1"/>
    <col min="1541" max="1541" width="9.28515625" bestFit="1" customWidth="1"/>
    <col min="1542" max="1542" width="44" customWidth="1"/>
    <col min="1543" max="1543" width="25" customWidth="1"/>
    <col min="1544" max="1544" width="26.28515625" bestFit="1" customWidth="1"/>
    <col min="1545" max="1545" width="40.140625" customWidth="1"/>
    <col min="1547" max="1547" width="9.85546875" bestFit="1" customWidth="1"/>
    <col min="1548" max="1548" width="9.28515625" bestFit="1" customWidth="1"/>
    <col min="1550" max="1550" width="23.140625" customWidth="1"/>
    <col min="1553" max="1553" width="9.28515625" bestFit="1" customWidth="1"/>
    <col min="1556" max="1556" width="9.85546875" bestFit="1" customWidth="1"/>
    <col min="1557" max="1557" width="12.140625" customWidth="1"/>
    <col min="1559" max="1559" width="8.5703125" customWidth="1"/>
    <col min="1560" max="1560" width="11.42578125" customWidth="1"/>
    <col min="1793" max="1796" width="0" hidden="1" customWidth="1"/>
    <col min="1797" max="1797" width="9.28515625" bestFit="1" customWidth="1"/>
    <col min="1798" max="1798" width="44" customWidth="1"/>
    <col min="1799" max="1799" width="25" customWidth="1"/>
    <col min="1800" max="1800" width="26.28515625" bestFit="1" customWidth="1"/>
    <col min="1801" max="1801" width="40.140625" customWidth="1"/>
    <col min="1803" max="1803" width="9.85546875" bestFit="1" customWidth="1"/>
    <col min="1804" max="1804" width="9.28515625" bestFit="1" customWidth="1"/>
    <col min="1806" max="1806" width="23.140625" customWidth="1"/>
    <col min="1809" max="1809" width="9.28515625" bestFit="1" customWidth="1"/>
    <col min="1812" max="1812" width="9.85546875" bestFit="1" customWidth="1"/>
    <col min="1813" max="1813" width="12.140625" customWidth="1"/>
    <col min="1815" max="1815" width="8.5703125" customWidth="1"/>
    <col min="1816" max="1816" width="11.42578125" customWidth="1"/>
    <col min="2049" max="2052" width="0" hidden="1" customWidth="1"/>
    <col min="2053" max="2053" width="9.28515625" bestFit="1" customWidth="1"/>
    <col min="2054" max="2054" width="44" customWidth="1"/>
    <col min="2055" max="2055" width="25" customWidth="1"/>
    <col min="2056" max="2056" width="26.28515625" bestFit="1" customWidth="1"/>
    <col min="2057" max="2057" width="40.140625" customWidth="1"/>
    <col min="2059" max="2059" width="9.85546875" bestFit="1" customWidth="1"/>
    <col min="2060" max="2060" width="9.28515625" bestFit="1" customWidth="1"/>
    <col min="2062" max="2062" width="23.140625" customWidth="1"/>
    <col min="2065" max="2065" width="9.28515625" bestFit="1" customWidth="1"/>
    <col min="2068" max="2068" width="9.85546875" bestFit="1" customWidth="1"/>
    <col min="2069" max="2069" width="12.140625" customWidth="1"/>
    <col min="2071" max="2071" width="8.5703125" customWidth="1"/>
    <col min="2072" max="2072" width="11.42578125" customWidth="1"/>
    <col min="2305" max="2308" width="0" hidden="1" customWidth="1"/>
    <col min="2309" max="2309" width="9.28515625" bestFit="1" customWidth="1"/>
    <col min="2310" max="2310" width="44" customWidth="1"/>
    <col min="2311" max="2311" width="25" customWidth="1"/>
    <col min="2312" max="2312" width="26.28515625" bestFit="1" customWidth="1"/>
    <col min="2313" max="2313" width="40.140625" customWidth="1"/>
    <col min="2315" max="2315" width="9.85546875" bestFit="1" customWidth="1"/>
    <col min="2316" max="2316" width="9.28515625" bestFit="1" customWidth="1"/>
    <col min="2318" max="2318" width="23.140625" customWidth="1"/>
    <col min="2321" max="2321" width="9.28515625" bestFit="1" customWidth="1"/>
    <col min="2324" max="2324" width="9.85546875" bestFit="1" customWidth="1"/>
    <col min="2325" max="2325" width="12.140625" customWidth="1"/>
    <col min="2327" max="2327" width="8.5703125" customWidth="1"/>
    <col min="2328" max="2328" width="11.42578125" customWidth="1"/>
    <col min="2561" max="2564" width="0" hidden="1" customWidth="1"/>
    <col min="2565" max="2565" width="9.28515625" bestFit="1" customWidth="1"/>
    <col min="2566" max="2566" width="44" customWidth="1"/>
    <col min="2567" max="2567" width="25" customWidth="1"/>
    <col min="2568" max="2568" width="26.28515625" bestFit="1" customWidth="1"/>
    <col min="2569" max="2569" width="40.140625" customWidth="1"/>
    <col min="2571" max="2571" width="9.85546875" bestFit="1" customWidth="1"/>
    <col min="2572" max="2572" width="9.28515625" bestFit="1" customWidth="1"/>
    <col min="2574" max="2574" width="23.140625" customWidth="1"/>
    <col min="2577" max="2577" width="9.28515625" bestFit="1" customWidth="1"/>
    <col min="2580" max="2580" width="9.85546875" bestFit="1" customWidth="1"/>
    <col min="2581" max="2581" width="12.140625" customWidth="1"/>
    <col min="2583" max="2583" width="8.5703125" customWidth="1"/>
    <col min="2584" max="2584" width="11.42578125" customWidth="1"/>
    <col min="2817" max="2820" width="0" hidden="1" customWidth="1"/>
    <col min="2821" max="2821" width="9.28515625" bestFit="1" customWidth="1"/>
    <col min="2822" max="2822" width="44" customWidth="1"/>
    <col min="2823" max="2823" width="25" customWidth="1"/>
    <col min="2824" max="2824" width="26.28515625" bestFit="1" customWidth="1"/>
    <col min="2825" max="2825" width="40.140625" customWidth="1"/>
    <col min="2827" max="2827" width="9.85546875" bestFit="1" customWidth="1"/>
    <col min="2828" max="2828" width="9.28515625" bestFit="1" customWidth="1"/>
    <col min="2830" max="2830" width="23.140625" customWidth="1"/>
    <col min="2833" max="2833" width="9.28515625" bestFit="1" customWidth="1"/>
    <col min="2836" max="2836" width="9.85546875" bestFit="1" customWidth="1"/>
    <col min="2837" max="2837" width="12.140625" customWidth="1"/>
    <col min="2839" max="2839" width="8.5703125" customWidth="1"/>
    <col min="2840" max="2840" width="11.42578125" customWidth="1"/>
    <col min="3073" max="3076" width="0" hidden="1" customWidth="1"/>
    <col min="3077" max="3077" width="9.28515625" bestFit="1" customWidth="1"/>
    <col min="3078" max="3078" width="44" customWidth="1"/>
    <col min="3079" max="3079" width="25" customWidth="1"/>
    <col min="3080" max="3080" width="26.28515625" bestFit="1" customWidth="1"/>
    <col min="3081" max="3081" width="40.140625" customWidth="1"/>
    <col min="3083" max="3083" width="9.85546875" bestFit="1" customWidth="1"/>
    <col min="3084" max="3084" width="9.28515625" bestFit="1" customWidth="1"/>
    <col min="3086" max="3086" width="23.140625" customWidth="1"/>
    <col min="3089" max="3089" width="9.28515625" bestFit="1" customWidth="1"/>
    <col min="3092" max="3092" width="9.85546875" bestFit="1" customWidth="1"/>
    <col min="3093" max="3093" width="12.140625" customWidth="1"/>
    <col min="3095" max="3095" width="8.5703125" customWidth="1"/>
    <col min="3096" max="3096" width="11.42578125" customWidth="1"/>
    <col min="3329" max="3332" width="0" hidden="1" customWidth="1"/>
    <col min="3333" max="3333" width="9.28515625" bestFit="1" customWidth="1"/>
    <col min="3334" max="3334" width="44" customWidth="1"/>
    <col min="3335" max="3335" width="25" customWidth="1"/>
    <col min="3336" max="3336" width="26.28515625" bestFit="1" customWidth="1"/>
    <col min="3337" max="3337" width="40.140625" customWidth="1"/>
    <col min="3339" max="3339" width="9.85546875" bestFit="1" customWidth="1"/>
    <col min="3340" max="3340" width="9.28515625" bestFit="1" customWidth="1"/>
    <col min="3342" max="3342" width="23.140625" customWidth="1"/>
    <col min="3345" max="3345" width="9.28515625" bestFit="1" customWidth="1"/>
    <col min="3348" max="3348" width="9.85546875" bestFit="1" customWidth="1"/>
    <col min="3349" max="3349" width="12.140625" customWidth="1"/>
    <col min="3351" max="3351" width="8.5703125" customWidth="1"/>
    <col min="3352" max="3352" width="11.42578125" customWidth="1"/>
    <col min="3585" max="3588" width="0" hidden="1" customWidth="1"/>
    <col min="3589" max="3589" width="9.28515625" bestFit="1" customWidth="1"/>
    <col min="3590" max="3590" width="44" customWidth="1"/>
    <col min="3591" max="3591" width="25" customWidth="1"/>
    <col min="3592" max="3592" width="26.28515625" bestFit="1" customWidth="1"/>
    <col min="3593" max="3593" width="40.140625" customWidth="1"/>
    <col min="3595" max="3595" width="9.85546875" bestFit="1" customWidth="1"/>
    <col min="3596" max="3596" width="9.28515625" bestFit="1" customWidth="1"/>
    <col min="3598" max="3598" width="23.140625" customWidth="1"/>
    <col min="3601" max="3601" width="9.28515625" bestFit="1" customWidth="1"/>
    <col min="3604" max="3604" width="9.85546875" bestFit="1" customWidth="1"/>
    <col min="3605" max="3605" width="12.140625" customWidth="1"/>
    <col min="3607" max="3607" width="8.5703125" customWidth="1"/>
    <col min="3608" max="3608" width="11.42578125" customWidth="1"/>
    <col min="3841" max="3844" width="0" hidden="1" customWidth="1"/>
    <col min="3845" max="3845" width="9.28515625" bestFit="1" customWidth="1"/>
    <col min="3846" max="3846" width="44" customWidth="1"/>
    <col min="3847" max="3847" width="25" customWidth="1"/>
    <col min="3848" max="3848" width="26.28515625" bestFit="1" customWidth="1"/>
    <col min="3849" max="3849" width="40.140625" customWidth="1"/>
    <col min="3851" max="3851" width="9.85546875" bestFit="1" customWidth="1"/>
    <col min="3852" max="3852" width="9.28515625" bestFit="1" customWidth="1"/>
    <col min="3854" max="3854" width="23.140625" customWidth="1"/>
    <col min="3857" max="3857" width="9.28515625" bestFit="1" customWidth="1"/>
    <col min="3860" max="3860" width="9.85546875" bestFit="1" customWidth="1"/>
    <col min="3861" max="3861" width="12.140625" customWidth="1"/>
    <col min="3863" max="3863" width="8.5703125" customWidth="1"/>
    <col min="3864" max="3864" width="11.42578125" customWidth="1"/>
    <col min="4097" max="4100" width="0" hidden="1" customWidth="1"/>
    <col min="4101" max="4101" width="9.28515625" bestFit="1" customWidth="1"/>
    <col min="4102" max="4102" width="44" customWidth="1"/>
    <col min="4103" max="4103" width="25" customWidth="1"/>
    <col min="4104" max="4104" width="26.28515625" bestFit="1" customWidth="1"/>
    <col min="4105" max="4105" width="40.140625" customWidth="1"/>
    <col min="4107" max="4107" width="9.85546875" bestFit="1" customWidth="1"/>
    <col min="4108" max="4108" width="9.28515625" bestFit="1" customWidth="1"/>
    <col min="4110" max="4110" width="23.140625" customWidth="1"/>
    <col min="4113" max="4113" width="9.28515625" bestFit="1" customWidth="1"/>
    <col min="4116" max="4116" width="9.85546875" bestFit="1" customWidth="1"/>
    <col min="4117" max="4117" width="12.140625" customWidth="1"/>
    <col min="4119" max="4119" width="8.5703125" customWidth="1"/>
    <col min="4120" max="4120" width="11.42578125" customWidth="1"/>
    <col min="4353" max="4356" width="0" hidden="1" customWidth="1"/>
    <col min="4357" max="4357" width="9.28515625" bestFit="1" customWidth="1"/>
    <col min="4358" max="4358" width="44" customWidth="1"/>
    <col min="4359" max="4359" width="25" customWidth="1"/>
    <col min="4360" max="4360" width="26.28515625" bestFit="1" customWidth="1"/>
    <col min="4361" max="4361" width="40.140625" customWidth="1"/>
    <col min="4363" max="4363" width="9.85546875" bestFit="1" customWidth="1"/>
    <col min="4364" max="4364" width="9.28515625" bestFit="1" customWidth="1"/>
    <col min="4366" max="4366" width="23.140625" customWidth="1"/>
    <col min="4369" max="4369" width="9.28515625" bestFit="1" customWidth="1"/>
    <col min="4372" max="4372" width="9.85546875" bestFit="1" customWidth="1"/>
    <col min="4373" max="4373" width="12.140625" customWidth="1"/>
    <col min="4375" max="4375" width="8.5703125" customWidth="1"/>
    <col min="4376" max="4376" width="11.42578125" customWidth="1"/>
    <col min="4609" max="4612" width="0" hidden="1" customWidth="1"/>
    <col min="4613" max="4613" width="9.28515625" bestFit="1" customWidth="1"/>
    <col min="4614" max="4614" width="44" customWidth="1"/>
    <col min="4615" max="4615" width="25" customWidth="1"/>
    <col min="4616" max="4616" width="26.28515625" bestFit="1" customWidth="1"/>
    <col min="4617" max="4617" width="40.140625" customWidth="1"/>
    <col min="4619" max="4619" width="9.85546875" bestFit="1" customWidth="1"/>
    <col min="4620" max="4620" width="9.28515625" bestFit="1" customWidth="1"/>
    <col min="4622" max="4622" width="23.140625" customWidth="1"/>
    <col min="4625" max="4625" width="9.28515625" bestFit="1" customWidth="1"/>
    <col min="4628" max="4628" width="9.85546875" bestFit="1" customWidth="1"/>
    <col min="4629" max="4629" width="12.140625" customWidth="1"/>
    <col min="4631" max="4631" width="8.5703125" customWidth="1"/>
    <col min="4632" max="4632" width="11.42578125" customWidth="1"/>
    <col min="4865" max="4868" width="0" hidden="1" customWidth="1"/>
    <col min="4869" max="4869" width="9.28515625" bestFit="1" customWidth="1"/>
    <col min="4870" max="4870" width="44" customWidth="1"/>
    <col min="4871" max="4871" width="25" customWidth="1"/>
    <col min="4872" max="4872" width="26.28515625" bestFit="1" customWidth="1"/>
    <col min="4873" max="4873" width="40.140625" customWidth="1"/>
    <col min="4875" max="4875" width="9.85546875" bestFit="1" customWidth="1"/>
    <col min="4876" max="4876" width="9.28515625" bestFit="1" customWidth="1"/>
    <col min="4878" max="4878" width="23.140625" customWidth="1"/>
    <col min="4881" max="4881" width="9.28515625" bestFit="1" customWidth="1"/>
    <col min="4884" max="4884" width="9.85546875" bestFit="1" customWidth="1"/>
    <col min="4885" max="4885" width="12.140625" customWidth="1"/>
    <col min="4887" max="4887" width="8.5703125" customWidth="1"/>
    <col min="4888" max="4888" width="11.42578125" customWidth="1"/>
    <col min="5121" max="5124" width="0" hidden="1" customWidth="1"/>
    <col min="5125" max="5125" width="9.28515625" bestFit="1" customWidth="1"/>
    <col min="5126" max="5126" width="44" customWidth="1"/>
    <col min="5127" max="5127" width="25" customWidth="1"/>
    <col min="5128" max="5128" width="26.28515625" bestFit="1" customWidth="1"/>
    <col min="5129" max="5129" width="40.140625" customWidth="1"/>
    <col min="5131" max="5131" width="9.85546875" bestFit="1" customWidth="1"/>
    <col min="5132" max="5132" width="9.28515625" bestFit="1" customWidth="1"/>
    <col min="5134" max="5134" width="23.140625" customWidth="1"/>
    <col min="5137" max="5137" width="9.28515625" bestFit="1" customWidth="1"/>
    <col min="5140" max="5140" width="9.85546875" bestFit="1" customWidth="1"/>
    <col min="5141" max="5141" width="12.140625" customWidth="1"/>
    <col min="5143" max="5143" width="8.5703125" customWidth="1"/>
    <col min="5144" max="5144" width="11.42578125" customWidth="1"/>
    <col min="5377" max="5380" width="0" hidden="1" customWidth="1"/>
    <col min="5381" max="5381" width="9.28515625" bestFit="1" customWidth="1"/>
    <col min="5382" max="5382" width="44" customWidth="1"/>
    <col min="5383" max="5383" width="25" customWidth="1"/>
    <col min="5384" max="5384" width="26.28515625" bestFit="1" customWidth="1"/>
    <col min="5385" max="5385" width="40.140625" customWidth="1"/>
    <col min="5387" max="5387" width="9.85546875" bestFit="1" customWidth="1"/>
    <col min="5388" max="5388" width="9.28515625" bestFit="1" customWidth="1"/>
    <col min="5390" max="5390" width="23.140625" customWidth="1"/>
    <col min="5393" max="5393" width="9.28515625" bestFit="1" customWidth="1"/>
    <col min="5396" max="5396" width="9.85546875" bestFit="1" customWidth="1"/>
    <col min="5397" max="5397" width="12.140625" customWidth="1"/>
    <col min="5399" max="5399" width="8.5703125" customWidth="1"/>
    <col min="5400" max="5400" width="11.42578125" customWidth="1"/>
    <col min="5633" max="5636" width="0" hidden="1" customWidth="1"/>
    <col min="5637" max="5637" width="9.28515625" bestFit="1" customWidth="1"/>
    <col min="5638" max="5638" width="44" customWidth="1"/>
    <col min="5639" max="5639" width="25" customWidth="1"/>
    <col min="5640" max="5640" width="26.28515625" bestFit="1" customWidth="1"/>
    <col min="5641" max="5641" width="40.140625" customWidth="1"/>
    <col min="5643" max="5643" width="9.85546875" bestFit="1" customWidth="1"/>
    <col min="5644" max="5644" width="9.28515625" bestFit="1" customWidth="1"/>
    <col min="5646" max="5646" width="23.140625" customWidth="1"/>
    <col min="5649" max="5649" width="9.28515625" bestFit="1" customWidth="1"/>
    <col min="5652" max="5652" width="9.85546875" bestFit="1" customWidth="1"/>
    <col min="5653" max="5653" width="12.140625" customWidth="1"/>
    <col min="5655" max="5655" width="8.5703125" customWidth="1"/>
    <col min="5656" max="5656" width="11.42578125" customWidth="1"/>
    <col min="5889" max="5892" width="0" hidden="1" customWidth="1"/>
    <col min="5893" max="5893" width="9.28515625" bestFit="1" customWidth="1"/>
    <col min="5894" max="5894" width="44" customWidth="1"/>
    <col min="5895" max="5895" width="25" customWidth="1"/>
    <col min="5896" max="5896" width="26.28515625" bestFit="1" customWidth="1"/>
    <col min="5897" max="5897" width="40.140625" customWidth="1"/>
    <col min="5899" max="5899" width="9.85546875" bestFit="1" customWidth="1"/>
    <col min="5900" max="5900" width="9.28515625" bestFit="1" customWidth="1"/>
    <col min="5902" max="5902" width="23.140625" customWidth="1"/>
    <col min="5905" max="5905" width="9.28515625" bestFit="1" customWidth="1"/>
    <col min="5908" max="5908" width="9.85546875" bestFit="1" customWidth="1"/>
    <col min="5909" max="5909" width="12.140625" customWidth="1"/>
    <col min="5911" max="5911" width="8.5703125" customWidth="1"/>
    <col min="5912" max="5912" width="11.42578125" customWidth="1"/>
    <col min="6145" max="6148" width="0" hidden="1" customWidth="1"/>
    <col min="6149" max="6149" width="9.28515625" bestFit="1" customWidth="1"/>
    <col min="6150" max="6150" width="44" customWidth="1"/>
    <col min="6151" max="6151" width="25" customWidth="1"/>
    <col min="6152" max="6152" width="26.28515625" bestFit="1" customWidth="1"/>
    <col min="6153" max="6153" width="40.140625" customWidth="1"/>
    <col min="6155" max="6155" width="9.85546875" bestFit="1" customWidth="1"/>
    <col min="6156" max="6156" width="9.28515625" bestFit="1" customWidth="1"/>
    <col min="6158" max="6158" width="23.140625" customWidth="1"/>
    <col min="6161" max="6161" width="9.28515625" bestFit="1" customWidth="1"/>
    <col min="6164" max="6164" width="9.85546875" bestFit="1" customWidth="1"/>
    <col min="6165" max="6165" width="12.140625" customWidth="1"/>
    <col min="6167" max="6167" width="8.5703125" customWidth="1"/>
    <col min="6168" max="6168" width="11.42578125" customWidth="1"/>
    <col min="6401" max="6404" width="0" hidden="1" customWidth="1"/>
    <col min="6405" max="6405" width="9.28515625" bestFit="1" customWidth="1"/>
    <col min="6406" max="6406" width="44" customWidth="1"/>
    <col min="6407" max="6407" width="25" customWidth="1"/>
    <col min="6408" max="6408" width="26.28515625" bestFit="1" customWidth="1"/>
    <col min="6409" max="6409" width="40.140625" customWidth="1"/>
    <col min="6411" max="6411" width="9.85546875" bestFit="1" customWidth="1"/>
    <col min="6412" max="6412" width="9.28515625" bestFit="1" customWidth="1"/>
    <col min="6414" max="6414" width="23.140625" customWidth="1"/>
    <col min="6417" max="6417" width="9.28515625" bestFit="1" customWidth="1"/>
    <col min="6420" max="6420" width="9.85546875" bestFit="1" customWidth="1"/>
    <col min="6421" max="6421" width="12.140625" customWidth="1"/>
    <col min="6423" max="6423" width="8.5703125" customWidth="1"/>
    <col min="6424" max="6424" width="11.42578125" customWidth="1"/>
    <col min="6657" max="6660" width="0" hidden="1" customWidth="1"/>
    <col min="6661" max="6661" width="9.28515625" bestFit="1" customWidth="1"/>
    <col min="6662" max="6662" width="44" customWidth="1"/>
    <col min="6663" max="6663" width="25" customWidth="1"/>
    <col min="6664" max="6664" width="26.28515625" bestFit="1" customWidth="1"/>
    <col min="6665" max="6665" width="40.140625" customWidth="1"/>
    <col min="6667" max="6667" width="9.85546875" bestFit="1" customWidth="1"/>
    <col min="6668" max="6668" width="9.28515625" bestFit="1" customWidth="1"/>
    <col min="6670" max="6670" width="23.140625" customWidth="1"/>
    <col min="6673" max="6673" width="9.28515625" bestFit="1" customWidth="1"/>
    <col min="6676" max="6676" width="9.85546875" bestFit="1" customWidth="1"/>
    <col min="6677" max="6677" width="12.140625" customWidth="1"/>
    <col min="6679" max="6679" width="8.5703125" customWidth="1"/>
    <col min="6680" max="6680" width="11.42578125" customWidth="1"/>
    <col min="6913" max="6916" width="0" hidden="1" customWidth="1"/>
    <col min="6917" max="6917" width="9.28515625" bestFit="1" customWidth="1"/>
    <col min="6918" max="6918" width="44" customWidth="1"/>
    <col min="6919" max="6919" width="25" customWidth="1"/>
    <col min="6920" max="6920" width="26.28515625" bestFit="1" customWidth="1"/>
    <col min="6921" max="6921" width="40.140625" customWidth="1"/>
    <col min="6923" max="6923" width="9.85546875" bestFit="1" customWidth="1"/>
    <col min="6924" max="6924" width="9.28515625" bestFit="1" customWidth="1"/>
    <col min="6926" max="6926" width="23.140625" customWidth="1"/>
    <col min="6929" max="6929" width="9.28515625" bestFit="1" customWidth="1"/>
    <col min="6932" max="6932" width="9.85546875" bestFit="1" customWidth="1"/>
    <col min="6933" max="6933" width="12.140625" customWidth="1"/>
    <col min="6935" max="6935" width="8.5703125" customWidth="1"/>
    <col min="6936" max="6936" width="11.42578125" customWidth="1"/>
    <col min="7169" max="7172" width="0" hidden="1" customWidth="1"/>
    <col min="7173" max="7173" width="9.28515625" bestFit="1" customWidth="1"/>
    <col min="7174" max="7174" width="44" customWidth="1"/>
    <col min="7175" max="7175" width="25" customWidth="1"/>
    <col min="7176" max="7176" width="26.28515625" bestFit="1" customWidth="1"/>
    <col min="7177" max="7177" width="40.140625" customWidth="1"/>
    <col min="7179" max="7179" width="9.85546875" bestFit="1" customWidth="1"/>
    <col min="7180" max="7180" width="9.28515625" bestFit="1" customWidth="1"/>
    <col min="7182" max="7182" width="23.140625" customWidth="1"/>
    <col min="7185" max="7185" width="9.28515625" bestFit="1" customWidth="1"/>
    <col min="7188" max="7188" width="9.85546875" bestFit="1" customWidth="1"/>
    <col min="7189" max="7189" width="12.140625" customWidth="1"/>
    <col min="7191" max="7191" width="8.5703125" customWidth="1"/>
    <col min="7192" max="7192" width="11.42578125" customWidth="1"/>
    <col min="7425" max="7428" width="0" hidden="1" customWidth="1"/>
    <col min="7429" max="7429" width="9.28515625" bestFit="1" customWidth="1"/>
    <col min="7430" max="7430" width="44" customWidth="1"/>
    <col min="7431" max="7431" width="25" customWidth="1"/>
    <col min="7432" max="7432" width="26.28515625" bestFit="1" customWidth="1"/>
    <col min="7433" max="7433" width="40.140625" customWidth="1"/>
    <col min="7435" max="7435" width="9.85546875" bestFit="1" customWidth="1"/>
    <col min="7436" max="7436" width="9.28515625" bestFit="1" customWidth="1"/>
    <col min="7438" max="7438" width="23.140625" customWidth="1"/>
    <col min="7441" max="7441" width="9.28515625" bestFit="1" customWidth="1"/>
    <col min="7444" max="7444" width="9.85546875" bestFit="1" customWidth="1"/>
    <col min="7445" max="7445" width="12.140625" customWidth="1"/>
    <col min="7447" max="7447" width="8.5703125" customWidth="1"/>
    <col min="7448" max="7448" width="11.42578125" customWidth="1"/>
    <col min="7681" max="7684" width="0" hidden="1" customWidth="1"/>
    <col min="7685" max="7685" width="9.28515625" bestFit="1" customWidth="1"/>
    <col min="7686" max="7686" width="44" customWidth="1"/>
    <col min="7687" max="7687" width="25" customWidth="1"/>
    <col min="7688" max="7688" width="26.28515625" bestFit="1" customWidth="1"/>
    <col min="7689" max="7689" width="40.140625" customWidth="1"/>
    <col min="7691" max="7691" width="9.85546875" bestFit="1" customWidth="1"/>
    <col min="7692" max="7692" width="9.28515625" bestFit="1" customWidth="1"/>
    <col min="7694" max="7694" width="23.140625" customWidth="1"/>
    <col min="7697" max="7697" width="9.28515625" bestFit="1" customWidth="1"/>
    <col min="7700" max="7700" width="9.85546875" bestFit="1" customWidth="1"/>
    <col min="7701" max="7701" width="12.140625" customWidth="1"/>
    <col min="7703" max="7703" width="8.5703125" customWidth="1"/>
    <col min="7704" max="7704" width="11.42578125" customWidth="1"/>
    <col min="7937" max="7940" width="0" hidden="1" customWidth="1"/>
    <col min="7941" max="7941" width="9.28515625" bestFit="1" customWidth="1"/>
    <col min="7942" max="7942" width="44" customWidth="1"/>
    <col min="7943" max="7943" width="25" customWidth="1"/>
    <col min="7944" max="7944" width="26.28515625" bestFit="1" customWidth="1"/>
    <col min="7945" max="7945" width="40.140625" customWidth="1"/>
    <col min="7947" max="7947" width="9.85546875" bestFit="1" customWidth="1"/>
    <col min="7948" max="7948" width="9.28515625" bestFit="1" customWidth="1"/>
    <col min="7950" max="7950" width="23.140625" customWidth="1"/>
    <col min="7953" max="7953" width="9.28515625" bestFit="1" customWidth="1"/>
    <col min="7956" max="7956" width="9.85546875" bestFit="1" customWidth="1"/>
    <col min="7957" max="7957" width="12.140625" customWidth="1"/>
    <col min="7959" max="7959" width="8.5703125" customWidth="1"/>
    <col min="7960" max="7960" width="11.42578125" customWidth="1"/>
    <col min="8193" max="8196" width="0" hidden="1" customWidth="1"/>
    <col min="8197" max="8197" width="9.28515625" bestFit="1" customWidth="1"/>
    <col min="8198" max="8198" width="44" customWidth="1"/>
    <col min="8199" max="8199" width="25" customWidth="1"/>
    <col min="8200" max="8200" width="26.28515625" bestFit="1" customWidth="1"/>
    <col min="8201" max="8201" width="40.140625" customWidth="1"/>
    <col min="8203" max="8203" width="9.85546875" bestFit="1" customWidth="1"/>
    <col min="8204" max="8204" width="9.28515625" bestFit="1" customWidth="1"/>
    <col min="8206" max="8206" width="23.140625" customWidth="1"/>
    <col min="8209" max="8209" width="9.28515625" bestFit="1" customWidth="1"/>
    <col min="8212" max="8212" width="9.85546875" bestFit="1" customWidth="1"/>
    <col min="8213" max="8213" width="12.140625" customWidth="1"/>
    <col min="8215" max="8215" width="8.5703125" customWidth="1"/>
    <col min="8216" max="8216" width="11.42578125" customWidth="1"/>
    <col min="8449" max="8452" width="0" hidden="1" customWidth="1"/>
    <col min="8453" max="8453" width="9.28515625" bestFit="1" customWidth="1"/>
    <col min="8454" max="8454" width="44" customWidth="1"/>
    <col min="8455" max="8455" width="25" customWidth="1"/>
    <col min="8456" max="8456" width="26.28515625" bestFit="1" customWidth="1"/>
    <col min="8457" max="8457" width="40.140625" customWidth="1"/>
    <col min="8459" max="8459" width="9.85546875" bestFit="1" customWidth="1"/>
    <col min="8460" max="8460" width="9.28515625" bestFit="1" customWidth="1"/>
    <col min="8462" max="8462" width="23.140625" customWidth="1"/>
    <col min="8465" max="8465" width="9.28515625" bestFit="1" customWidth="1"/>
    <col min="8468" max="8468" width="9.85546875" bestFit="1" customWidth="1"/>
    <col min="8469" max="8469" width="12.140625" customWidth="1"/>
    <col min="8471" max="8471" width="8.5703125" customWidth="1"/>
    <col min="8472" max="8472" width="11.42578125" customWidth="1"/>
    <col min="8705" max="8708" width="0" hidden="1" customWidth="1"/>
    <col min="8709" max="8709" width="9.28515625" bestFit="1" customWidth="1"/>
    <col min="8710" max="8710" width="44" customWidth="1"/>
    <col min="8711" max="8711" width="25" customWidth="1"/>
    <col min="8712" max="8712" width="26.28515625" bestFit="1" customWidth="1"/>
    <col min="8713" max="8713" width="40.140625" customWidth="1"/>
    <col min="8715" max="8715" width="9.85546875" bestFit="1" customWidth="1"/>
    <col min="8716" max="8716" width="9.28515625" bestFit="1" customWidth="1"/>
    <col min="8718" max="8718" width="23.140625" customWidth="1"/>
    <col min="8721" max="8721" width="9.28515625" bestFit="1" customWidth="1"/>
    <col min="8724" max="8724" width="9.85546875" bestFit="1" customWidth="1"/>
    <col min="8725" max="8725" width="12.140625" customWidth="1"/>
    <col min="8727" max="8727" width="8.5703125" customWidth="1"/>
    <col min="8728" max="8728" width="11.42578125" customWidth="1"/>
    <col min="8961" max="8964" width="0" hidden="1" customWidth="1"/>
    <col min="8965" max="8965" width="9.28515625" bestFit="1" customWidth="1"/>
    <col min="8966" max="8966" width="44" customWidth="1"/>
    <col min="8967" max="8967" width="25" customWidth="1"/>
    <col min="8968" max="8968" width="26.28515625" bestFit="1" customWidth="1"/>
    <col min="8969" max="8969" width="40.140625" customWidth="1"/>
    <col min="8971" max="8971" width="9.85546875" bestFit="1" customWidth="1"/>
    <col min="8972" max="8972" width="9.28515625" bestFit="1" customWidth="1"/>
    <col min="8974" max="8974" width="23.140625" customWidth="1"/>
    <col min="8977" max="8977" width="9.28515625" bestFit="1" customWidth="1"/>
    <col min="8980" max="8980" width="9.85546875" bestFit="1" customWidth="1"/>
    <col min="8981" max="8981" width="12.140625" customWidth="1"/>
    <col min="8983" max="8983" width="8.5703125" customWidth="1"/>
    <col min="8984" max="8984" width="11.42578125" customWidth="1"/>
    <col min="9217" max="9220" width="0" hidden="1" customWidth="1"/>
    <col min="9221" max="9221" width="9.28515625" bestFit="1" customWidth="1"/>
    <col min="9222" max="9222" width="44" customWidth="1"/>
    <col min="9223" max="9223" width="25" customWidth="1"/>
    <col min="9224" max="9224" width="26.28515625" bestFit="1" customWidth="1"/>
    <col min="9225" max="9225" width="40.140625" customWidth="1"/>
    <col min="9227" max="9227" width="9.85546875" bestFit="1" customWidth="1"/>
    <col min="9228" max="9228" width="9.28515625" bestFit="1" customWidth="1"/>
    <col min="9230" max="9230" width="23.140625" customWidth="1"/>
    <col min="9233" max="9233" width="9.28515625" bestFit="1" customWidth="1"/>
    <col min="9236" max="9236" width="9.85546875" bestFit="1" customWidth="1"/>
    <col min="9237" max="9237" width="12.140625" customWidth="1"/>
    <col min="9239" max="9239" width="8.5703125" customWidth="1"/>
    <col min="9240" max="9240" width="11.42578125" customWidth="1"/>
    <col min="9473" max="9476" width="0" hidden="1" customWidth="1"/>
    <col min="9477" max="9477" width="9.28515625" bestFit="1" customWidth="1"/>
    <col min="9478" max="9478" width="44" customWidth="1"/>
    <col min="9479" max="9479" width="25" customWidth="1"/>
    <col min="9480" max="9480" width="26.28515625" bestFit="1" customWidth="1"/>
    <col min="9481" max="9481" width="40.140625" customWidth="1"/>
    <col min="9483" max="9483" width="9.85546875" bestFit="1" customWidth="1"/>
    <col min="9484" max="9484" width="9.28515625" bestFit="1" customWidth="1"/>
    <col min="9486" max="9486" width="23.140625" customWidth="1"/>
    <col min="9489" max="9489" width="9.28515625" bestFit="1" customWidth="1"/>
    <col min="9492" max="9492" width="9.85546875" bestFit="1" customWidth="1"/>
    <col min="9493" max="9493" width="12.140625" customWidth="1"/>
    <col min="9495" max="9495" width="8.5703125" customWidth="1"/>
    <col min="9496" max="9496" width="11.42578125" customWidth="1"/>
    <col min="9729" max="9732" width="0" hidden="1" customWidth="1"/>
    <col min="9733" max="9733" width="9.28515625" bestFit="1" customWidth="1"/>
    <col min="9734" max="9734" width="44" customWidth="1"/>
    <col min="9735" max="9735" width="25" customWidth="1"/>
    <col min="9736" max="9736" width="26.28515625" bestFit="1" customWidth="1"/>
    <col min="9737" max="9737" width="40.140625" customWidth="1"/>
    <col min="9739" max="9739" width="9.85546875" bestFit="1" customWidth="1"/>
    <col min="9740" max="9740" width="9.28515625" bestFit="1" customWidth="1"/>
    <col min="9742" max="9742" width="23.140625" customWidth="1"/>
    <col min="9745" max="9745" width="9.28515625" bestFit="1" customWidth="1"/>
    <col min="9748" max="9748" width="9.85546875" bestFit="1" customWidth="1"/>
    <col min="9749" max="9749" width="12.140625" customWidth="1"/>
    <col min="9751" max="9751" width="8.5703125" customWidth="1"/>
    <col min="9752" max="9752" width="11.42578125" customWidth="1"/>
    <col min="9985" max="9988" width="0" hidden="1" customWidth="1"/>
    <col min="9989" max="9989" width="9.28515625" bestFit="1" customWidth="1"/>
    <col min="9990" max="9990" width="44" customWidth="1"/>
    <col min="9991" max="9991" width="25" customWidth="1"/>
    <col min="9992" max="9992" width="26.28515625" bestFit="1" customWidth="1"/>
    <col min="9993" max="9993" width="40.140625" customWidth="1"/>
    <col min="9995" max="9995" width="9.85546875" bestFit="1" customWidth="1"/>
    <col min="9996" max="9996" width="9.28515625" bestFit="1" customWidth="1"/>
    <col min="9998" max="9998" width="23.140625" customWidth="1"/>
    <col min="10001" max="10001" width="9.28515625" bestFit="1" customWidth="1"/>
    <col min="10004" max="10004" width="9.85546875" bestFit="1" customWidth="1"/>
    <col min="10005" max="10005" width="12.140625" customWidth="1"/>
    <col min="10007" max="10007" width="8.5703125" customWidth="1"/>
    <col min="10008" max="10008" width="11.42578125" customWidth="1"/>
    <col min="10241" max="10244" width="0" hidden="1" customWidth="1"/>
    <col min="10245" max="10245" width="9.28515625" bestFit="1" customWidth="1"/>
    <col min="10246" max="10246" width="44" customWidth="1"/>
    <col min="10247" max="10247" width="25" customWidth="1"/>
    <col min="10248" max="10248" width="26.28515625" bestFit="1" customWidth="1"/>
    <col min="10249" max="10249" width="40.140625" customWidth="1"/>
    <col min="10251" max="10251" width="9.85546875" bestFit="1" customWidth="1"/>
    <col min="10252" max="10252" width="9.28515625" bestFit="1" customWidth="1"/>
    <col min="10254" max="10254" width="23.140625" customWidth="1"/>
    <col min="10257" max="10257" width="9.28515625" bestFit="1" customWidth="1"/>
    <col min="10260" max="10260" width="9.85546875" bestFit="1" customWidth="1"/>
    <col min="10261" max="10261" width="12.140625" customWidth="1"/>
    <col min="10263" max="10263" width="8.5703125" customWidth="1"/>
    <col min="10264" max="10264" width="11.42578125" customWidth="1"/>
    <col min="10497" max="10500" width="0" hidden="1" customWidth="1"/>
    <col min="10501" max="10501" width="9.28515625" bestFit="1" customWidth="1"/>
    <col min="10502" max="10502" width="44" customWidth="1"/>
    <col min="10503" max="10503" width="25" customWidth="1"/>
    <col min="10504" max="10504" width="26.28515625" bestFit="1" customWidth="1"/>
    <col min="10505" max="10505" width="40.140625" customWidth="1"/>
    <col min="10507" max="10507" width="9.85546875" bestFit="1" customWidth="1"/>
    <col min="10508" max="10508" width="9.28515625" bestFit="1" customWidth="1"/>
    <col min="10510" max="10510" width="23.140625" customWidth="1"/>
    <col min="10513" max="10513" width="9.28515625" bestFit="1" customWidth="1"/>
    <col min="10516" max="10516" width="9.85546875" bestFit="1" customWidth="1"/>
    <col min="10517" max="10517" width="12.140625" customWidth="1"/>
    <col min="10519" max="10519" width="8.5703125" customWidth="1"/>
    <col min="10520" max="10520" width="11.42578125" customWidth="1"/>
    <col min="10753" max="10756" width="0" hidden="1" customWidth="1"/>
    <col min="10757" max="10757" width="9.28515625" bestFit="1" customWidth="1"/>
    <col min="10758" max="10758" width="44" customWidth="1"/>
    <col min="10759" max="10759" width="25" customWidth="1"/>
    <col min="10760" max="10760" width="26.28515625" bestFit="1" customWidth="1"/>
    <col min="10761" max="10761" width="40.140625" customWidth="1"/>
    <col min="10763" max="10763" width="9.85546875" bestFit="1" customWidth="1"/>
    <col min="10764" max="10764" width="9.28515625" bestFit="1" customWidth="1"/>
    <col min="10766" max="10766" width="23.140625" customWidth="1"/>
    <col min="10769" max="10769" width="9.28515625" bestFit="1" customWidth="1"/>
    <col min="10772" max="10772" width="9.85546875" bestFit="1" customWidth="1"/>
    <col min="10773" max="10773" width="12.140625" customWidth="1"/>
    <col min="10775" max="10775" width="8.5703125" customWidth="1"/>
    <col min="10776" max="10776" width="11.42578125" customWidth="1"/>
    <col min="11009" max="11012" width="0" hidden="1" customWidth="1"/>
    <col min="11013" max="11013" width="9.28515625" bestFit="1" customWidth="1"/>
    <col min="11014" max="11014" width="44" customWidth="1"/>
    <col min="11015" max="11015" width="25" customWidth="1"/>
    <col min="11016" max="11016" width="26.28515625" bestFit="1" customWidth="1"/>
    <col min="11017" max="11017" width="40.140625" customWidth="1"/>
    <col min="11019" max="11019" width="9.85546875" bestFit="1" customWidth="1"/>
    <col min="11020" max="11020" width="9.28515625" bestFit="1" customWidth="1"/>
    <col min="11022" max="11022" width="23.140625" customWidth="1"/>
    <col min="11025" max="11025" width="9.28515625" bestFit="1" customWidth="1"/>
    <col min="11028" max="11028" width="9.85546875" bestFit="1" customWidth="1"/>
    <col min="11029" max="11029" width="12.140625" customWidth="1"/>
    <col min="11031" max="11031" width="8.5703125" customWidth="1"/>
    <col min="11032" max="11032" width="11.42578125" customWidth="1"/>
    <col min="11265" max="11268" width="0" hidden="1" customWidth="1"/>
    <col min="11269" max="11269" width="9.28515625" bestFit="1" customWidth="1"/>
    <col min="11270" max="11270" width="44" customWidth="1"/>
    <col min="11271" max="11271" width="25" customWidth="1"/>
    <col min="11272" max="11272" width="26.28515625" bestFit="1" customWidth="1"/>
    <col min="11273" max="11273" width="40.140625" customWidth="1"/>
    <col min="11275" max="11275" width="9.85546875" bestFit="1" customWidth="1"/>
    <col min="11276" max="11276" width="9.28515625" bestFit="1" customWidth="1"/>
    <col min="11278" max="11278" width="23.140625" customWidth="1"/>
    <col min="11281" max="11281" width="9.28515625" bestFit="1" customWidth="1"/>
    <col min="11284" max="11284" width="9.85546875" bestFit="1" customWidth="1"/>
    <col min="11285" max="11285" width="12.140625" customWidth="1"/>
    <col min="11287" max="11287" width="8.5703125" customWidth="1"/>
    <col min="11288" max="11288" width="11.42578125" customWidth="1"/>
    <col min="11521" max="11524" width="0" hidden="1" customWidth="1"/>
    <col min="11525" max="11525" width="9.28515625" bestFit="1" customWidth="1"/>
    <col min="11526" max="11526" width="44" customWidth="1"/>
    <col min="11527" max="11527" width="25" customWidth="1"/>
    <col min="11528" max="11528" width="26.28515625" bestFit="1" customWidth="1"/>
    <col min="11529" max="11529" width="40.140625" customWidth="1"/>
    <col min="11531" max="11531" width="9.85546875" bestFit="1" customWidth="1"/>
    <col min="11532" max="11532" width="9.28515625" bestFit="1" customWidth="1"/>
    <col min="11534" max="11534" width="23.140625" customWidth="1"/>
    <col min="11537" max="11537" width="9.28515625" bestFit="1" customWidth="1"/>
    <col min="11540" max="11540" width="9.85546875" bestFit="1" customWidth="1"/>
    <col min="11541" max="11541" width="12.140625" customWidth="1"/>
    <col min="11543" max="11543" width="8.5703125" customWidth="1"/>
    <col min="11544" max="11544" width="11.42578125" customWidth="1"/>
    <col min="11777" max="11780" width="0" hidden="1" customWidth="1"/>
    <col min="11781" max="11781" width="9.28515625" bestFit="1" customWidth="1"/>
    <col min="11782" max="11782" width="44" customWidth="1"/>
    <col min="11783" max="11783" width="25" customWidth="1"/>
    <col min="11784" max="11784" width="26.28515625" bestFit="1" customWidth="1"/>
    <col min="11785" max="11785" width="40.140625" customWidth="1"/>
    <col min="11787" max="11787" width="9.85546875" bestFit="1" customWidth="1"/>
    <col min="11788" max="11788" width="9.28515625" bestFit="1" customWidth="1"/>
    <col min="11790" max="11790" width="23.140625" customWidth="1"/>
    <col min="11793" max="11793" width="9.28515625" bestFit="1" customWidth="1"/>
    <col min="11796" max="11796" width="9.85546875" bestFit="1" customWidth="1"/>
    <col min="11797" max="11797" width="12.140625" customWidth="1"/>
    <col min="11799" max="11799" width="8.5703125" customWidth="1"/>
    <col min="11800" max="11800" width="11.42578125" customWidth="1"/>
    <col min="12033" max="12036" width="0" hidden="1" customWidth="1"/>
    <col min="12037" max="12037" width="9.28515625" bestFit="1" customWidth="1"/>
    <col min="12038" max="12038" width="44" customWidth="1"/>
    <col min="12039" max="12039" width="25" customWidth="1"/>
    <col min="12040" max="12040" width="26.28515625" bestFit="1" customWidth="1"/>
    <col min="12041" max="12041" width="40.140625" customWidth="1"/>
    <col min="12043" max="12043" width="9.85546875" bestFit="1" customWidth="1"/>
    <col min="12044" max="12044" width="9.28515625" bestFit="1" customWidth="1"/>
    <col min="12046" max="12046" width="23.140625" customWidth="1"/>
    <col min="12049" max="12049" width="9.28515625" bestFit="1" customWidth="1"/>
    <col min="12052" max="12052" width="9.85546875" bestFit="1" customWidth="1"/>
    <col min="12053" max="12053" width="12.140625" customWidth="1"/>
    <col min="12055" max="12055" width="8.5703125" customWidth="1"/>
    <col min="12056" max="12056" width="11.42578125" customWidth="1"/>
    <col min="12289" max="12292" width="0" hidden="1" customWidth="1"/>
    <col min="12293" max="12293" width="9.28515625" bestFit="1" customWidth="1"/>
    <col min="12294" max="12294" width="44" customWidth="1"/>
    <col min="12295" max="12295" width="25" customWidth="1"/>
    <col min="12296" max="12296" width="26.28515625" bestFit="1" customWidth="1"/>
    <col min="12297" max="12297" width="40.140625" customWidth="1"/>
    <col min="12299" max="12299" width="9.85546875" bestFit="1" customWidth="1"/>
    <col min="12300" max="12300" width="9.28515625" bestFit="1" customWidth="1"/>
    <col min="12302" max="12302" width="23.140625" customWidth="1"/>
    <col min="12305" max="12305" width="9.28515625" bestFit="1" customWidth="1"/>
    <col min="12308" max="12308" width="9.85546875" bestFit="1" customWidth="1"/>
    <col min="12309" max="12309" width="12.140625" customWidth="1"/>
    <col min="12311" max="12311" width="8.5703125" customWidth="1"/>
    <col min="12312" max="12312" width="11.42578125" customWidth="1"/>
    <col min="12545" max="12548" width="0" hidden="1" customWidth="1"/>
    <col min="12549" max="12549" width="9.28515625" bestFit="1" customWidth="1"/>
    <col min="12550" max="12550" width="44" customWidth="1"/>
    <col min="12551" max="12551" width="25" customWidth="1"/>
    <col min="12552" max="12552" width="26.28515625" bestFit="1" customWidth="1"/>
    <col min="12553" max="12553" width="40.140625" customWidth="1"/>
    <col min="12555" max="12555" width="9.85546875" bestFit="1" customWidth="1"/>
    <col min="12556" max="12556" width="9.28515625" bestFit="1" customWidth="1"/>
    <col min="12558" max="12558" width="23.140625" customWidth="1"/>
    <col min="12561" max="12561" width="9.28515625" bestFit="1" customWidth="1"/>
    <col min="12564" max="12564" width="9.85546875" bestFit="1" customWidth="1"/>
    <col min="12565" max="12565" width="12.140625" customWidth="1"/>
    <col min="12567" max="12567" width="8.5703125" customWidth="1"/>
    <col min="12568" max="12568" width="11.42578125" customWidth="1"/>
    <col min="12801" max="12804" width="0" hidden="1" customWidth="1"/>
    <col min="12805" max="12805" width="9.28515625" bestFit="1" customWidth="1"/>
    <col min="12806" max="12806" width="44" customWidth="1"/>
    <col min="12807" max="12807" width="25" customWidth="1"/>
    <col min="12808" max="12808" width="26.28515625" bestFit="1" customWidth="1"/>
    <col min="12809" max="12809" width="40.140625" customWidth="1"/>
    <col min="12811" max="12811" width="9.85546875" bestFit="1" customWidth="1"/>
    <col min="12812" max="12812" width="9.28515625" bestFit="1" customWidth="1"/>
    <col min="12814" max="12814" width="23.140625" customWidth="1"/>
    <col min="12817" max="12817" width="9.28515625" bestFit="1" customWidth="1"/>
    <col min="12820" max="12820" width="9.85546875" bestFit="1" customWidth="1"/>
    <col min="12821" max="12821" width="12.140625" customWidth="1"/>
    <col min="12823" max="12823" width="8.5703125" customWidth="1"/>
    <col min="12824" max="12824" width="11.42578125" customWidth="1"/>
    <col min="13057" max="13060" width="0" hidden="1" customWidth="1"/>
    <col min="13061" max="13061" width="9.28515625" bestFit="1" customWidth="1"/>
    <col min="13062" max="13062" width="44" customWidth="1"/>
    <col min="13063" max="13063" width="25" customWidth="1"/>
    <col min="13064" max="13064" width="26.28515625" bestFit="1" customWidth="1"/>
    <col min="13065" max="13065" width="40.140625" customWidth="1"/>
    <col min="13067" max="13067" width="9.85546875" bestFit="1" customWidth="1"/>
    <col min="13068" max="13068" width="9.28515625" bestFit="1" customWidth="1"/>
    <col min="13070" max="13070" width="23.140625" customWidth="1"/>
    <col min="13073" max="13073" width="9.28515625" bestFit="1" customWidth="1"/>
    <col min="13076" max="13076" width="9.85546875" bestFit="1" customWidth="1"/>
    <col min="13077" max="13077" width="12.140625" customWidth="1"/>
    <col min="13079" max="13079" width="8.5703125" customWidth="1"/>
    <col min="13080" max="13080" width="11.42578125" customWidth="1"/>
    <col min="13313" max="13316" width="0" hidden="1" customWidth="1"/>
    <col min="13317" max="13317" width="9.28515625" bestFit="1" customWidth="1"/>
    <col min="13318" max="13318" width="44" customWidth="1"/>
    <col min="13319" max="13319" width="25" customWidth="1"/>
    <col min="13320" max="13320" width="26.28515625" bestFit="1" customWidth="1"/>
    <col min="13321" max="13321" width="40.140625" customWidth="1"/>
    <col min="13323" max="13323" width="9.85546875" bestFit="1" customWidth="1"/>
    <col min="13324" max="13324" width="9.28515625" bestFit="1" customWidth="1"/>
    <col min="13326" max="13326" width="23.140625" customWidth="1"/>
    <col min="13329" max="13329" width="9.28515625" bestFit="1" customWidth="1"/>
    <col min="13332" max="13332" width="9.85546875" bestFit="1" customWidth="1"/>
    <col min="13333" max="13333" width="12.140625" customWidth="1"/>
    <col min="13335" max="13335" width="8.5703125" customWidth="1"/>
    <col min="13336" max="13336" width="11.42578125" customWidth="1"/>
    <col min="13569" max="13572" width="0" hidden="1" customWidth="1"/>
    <col min="13573" max="13573" width="9.28515625" bestFit="1" customWidth="1"/>
    <col min="13574" max="13574" width="44" customWidth="1"/>
    <col min="13575" max="13575" width="25" customWidth="1"/>
    <col min="13576" max="13576" width="26.28515625" bestFit="1" customWidth="1"/>
    <col min="13577" max="13577" width="40.140625" customWidth="1"/>
    <col min="13579" max="13579" width="9.85546875" bestFit="1" customWidth="1"/>
    <col min="13580" max="13580" width="9.28515625" bestFit="1" customWidth="1"/>
    <col min="13582" max="13582" width="23.140625" customWidth="1"/>
    <col min="13585" max="13585" width="9.28515625" bestFit="1" customWidth="1"/>
    <col min="13588" max="13588" width="9.85546875" bestFit="1" customWidth="1"/>
    <col min="13589" max="13589" width="12.140625" customWidth="1"/>
    <col min="13591" max="13591" width="8.5703125" customWidth="1"/>
    <col min="13592" max="13592" width="11.42578125" customWidth="1"/>
    <col min="13825" max="13828" width="0" hidden="1" customWidth="1"/>
    <col min="13829" max="13829" width="9.28515625" bestFit="1" customWidth="1"/>
    <col min="13830" max="13830" width="44" customWidth="1"/>
    <col min="13831" max="13831" width="25" customWidth="1"/>
    <col min="13832" max="13832" width="26.28515625" bestFit="1" customWidth="1"/>
    <col min="13833" max="13833" width="40.140625" customWidth="1"/>
    <col min="13835" max="13835" width="9.85546875" bestFit="1" customWidth="1"/>
    <col min="13836" max="13836" width="9.28515625" bestFit="1" customWidth="1"/>
    <col min="13838" max="13838" width="23.140625" customWidth="1"/>
    <col min="13841" max="13841" width="9.28515625" bestFit="1" customWidth="1"/>
    <col min="13844" max="13844" width="9.85546875" bestFit="1" customWidth="1"/>
    <col min="13845" max="13845" width="12.140625" customWidth="1"/>
    <col min="13847" max="13847" width="8.5703125" customWidth="1"/>
    <col min="13848" max="13848" width="11.42578125" customWidth="1"/>
    <col min="14081" max="14084" width="0" hidden="1" customWidth="1"/>
    <col min="14085" max="14085" width="9.28515625" bestFit="1" customWidth="1"/>
    <col min="14086" max="14086" width="44" customWidth="1"/>
    <col min="14087" max="14087" width="25" customWidth="1"/>
    <col min="14088" max="14088" width="26.28515625" bestFit="1" customWidth="1"/>
    <col min="14089" max="14089" width="40.140625" customWidth="1"/>
    <col min="14091" max="14091" width="9.85546875" bestFit="1" customWidth="1"/>
    <col min="14092" max="14092" width="9.28515625" bestFit="1" customWidth="1"/>
    <col min="14094" max="14094" width="23.140625" customWidth="1"/>
    <col min="14097" max="14097" width="9.28515625" bestFit="1" customWidth="1"/>
    <col min="14100" max="14100" width="9.85546875" bestFit="1" customWidth="1"/>
    <col min="14101" max="14101" width="12.140625" customWidth="1"/>
    <col min="14103" max="14103" width="8.5703125" customWidth="1"/>
    <col min="14104" max="14104" width="11.42578125" customWidth="1"/>
    <col min="14337" max="14340" width="0" hidden="1" customWidth="1"/>
    <col min="14341" max="14341" width="9.28515625" bestFit="1" customWidth="1"/>
    <col min="14342" max="14342" width="44" customWidth="1"/>
    <col min="14343" max="14343" width="25" customWidth="1"/>
    <col min="14344" max="14344" width="26.28515625" bestFit="1" customWidth="1"/>
    <col min="14345" max="14345" width="40.140625" customWidth="1"/>
    <col min="14347" max="14347" width="9.85546875" bestFit="1" customWidth="1"/>
    <col min="14348" max="14348" width="9.28515625" bestFit="1" customWidth="1"/>
    <col min="14350" max="14350" width="23.140625" customWidth="1"/>
    <col min="14353" max="14353" width="9.28515625" bestFit="1" customWidth="1"/>
    <col min="14356" max="14356" width="9.85546875" bestFit="1" customWidth="1"/>
    <col min="14357" max="14357" width="12.140625" customWidth="1"/>
    <col min="14359" max="14359" width="8.5703125" customWidth="1"/>
    <col min="14360" max="14360" width="11.42578125" customWidth="1"/>
    <col min="14593" max="14596" width="0" hidden="1" customWidth="1"/>
    <col min="14597" max="14597" width="9.28515625" bestFit="1" customWidth="1"/>
    <col min="14598" max="14598" width="44" customWidth="1"/>
    <col min="14599" max="14599" width="25" customWidth="1"/>
    <col min="14600" max="14600" width="26.28515625" bestFit="1" customWidth="1"/>
    <col min="14601" max="14601" width="40.140625" customWidth="1"/>
    <col min="14603" max="14603" width="9.85546875" bestFit="1" customWidth="1"/>
    <col min="14604" max="14604" width="9.28515625" bestFit="1" customWidth="1"/>
    <col min="14606" max="14606" width="23.140625" customWidth="1"/>
    <col min="14609" max="14609" width="9.28515625" bestFit="1" customWidth="1"/>
    <col min="14612" max="14612" width="9.85546875" bestFit="1" customWidth="1"/>
    <col min="14613" max="14613" width="12.140625" customWidth="1"/>
    <col min="14615" max="14615" width="8.5703125" customWidth="1"/>
    <col min="14616" max="14616" width="11.42578125" customWidth="1"/>
    <col min="14849" max="14852" width="0" hidden="1" customWidth="1"/>
    <col min="14853" max="14853" width="9.28515625" bestFit="1" customWidth="1"/>
    <col min="14854" max="14854" width="44" customWidth="1"/>
    <col min="14855" max="14855" width="25" customWidth="1"/>
    <col min="14856" max="14856" width="26.28515625" bestFit="1" customWidth="1"/>
    <col min="14857" max="14857" width="40.140625" customWidth="1"/>
    <col min="14859" max="14859" width="9.85546875" bestFit="1" customWidth="1"/>
    <col min="14860" max="14860" width="9.28515625" bestFit="1" customWidth="1"/>
    <col min="14862" max="14862" width="23.140625" customWidth="1"/>
    <col min="14865" max="14865" width="9.28515625" bestFit="1" customWidth="1"/>
    <col min="14868" max="14868" width="9.85546875" bestFit="1" customWidth="1"/>
    <col min="14869" max="14869" width="12.140625" customWidth="1"/>
    <col min="14871" max="14871" width="8.5703125" customWidth="1"/>
    <col min="14872" max="14872" width="11.42578125" customWidth="1"/>
    <col min="15105" max="15108" width="0" hidden="1" customWidth="1"/>
    <col min="15109" max="15109" width="9.28515625" bestFit="1" customWidth="1"/>
    <col min="15110" max="15110" width="44" customWidth="1"/>
    <col min="15111" max="15111" width="25" customWidth="1"/>
    <col min="15112" max="15112" width="26.28515625" bestFit="1" customWidth="1"/>
    <col min="15113" max="15113" width="40.140625" customWidth="1"/>
    <col min="15115" max="15115" width="9.85546875" bestFit="1" customWidth="1"/>
    <col min="15116" max="15116" width="9.28515625" bestFit="1" customWidth="1"/>
    <col min="15118" max="15118" width="23.140625" customWidth="1"/>
    <col min="15121" max="15121" width="9.28515625" bestFit="1" customWidth="1"/>
    <col min="15124" max="15124" width="9.85546875" bestFit="1" customWidth="1"/>
    <col min="15125" max="15125" width="12.140625" customWidth="1"/>
    <col min="15127" max="15127" width="8.5703125" customWidth="1"/>
    <col min="15128" max="15128" width="11.42578125" customWidth="1"/>
    <col min="15361" max="15364" width="0" hidden="1" customWidth="1"/>
    <col min="15365" max="15365" width="9.28515625" bestFit="1" customWidth="1"/>
    <col min="15366" max="15366" width="44" customWidth="1"/>
    <col min="15367" max="15367" width="25" customWidth="1"/>
    <col min="15368" max="15368" width="26.28515625" bestFit="1" customWidth="1"/>
    <col min="15369" max="15369" width="40.140625" customWidth="1"/>
    <col min="15371" max="15371" width="9.85546875" bestFit="1" customWidth="1"/>
    <col min="15372" max="15372" width="9.28515625" bestFit="1" customWidth="1"/>
    <col min="15374" max="15374" width="23.140625" customWidth="1"/>
    <col min="15377" max="15377" width="9.28515625" bestFit="1" customWidth="1"/>
    <col min="15380" max="15380" width="9.85546875" bestFit="1" customWidth="1"/>
    <col min="15381" max="15381" width="12.140625" customWidth="1"/>
    <col min="15383" max="15383" width="8.5703125" customWidth="1"/>
    <col min="15384" max="15384" width="11.42578125" customWidth="1"/>
    <col min="15617" max="15620" width="0" hidden="1" customWidth="1"/>
    <col min="15621" max="15621" width="9.28515625" bestFit="1" customWidth="1"/>
    <col min="15622" max="15622" width="44" customWidth="1"/>
    <col min="15623" max="15623" width="25" customWidth="1"/>
    <col min="15624" max="15624" width="26.28515625" bestFit="1" customWidth="1"/>
    <col min="15625" max="15625" width="40.140625" customWidth="1"/>
    <col min="15627" max="15627" width="9.85546875" bestFit="1" customWidth="1"/>
    <col min="15628" max="15628" width="9.28515625" bestFit="1" customWidth="1"/>
    <col min="15630" max="15630" width="23.140625" customWidth="1"/>
    <col min="15633" max="15633" width="9.28515625" bestFit="1" customWidth="1"/>
    <col min="15636" max="15636" width="9.85546875" bestFit="1" customWidth="1"/>
    <col min="15637" max="15637" width="12.140625" customWidth="1"/>
    <col min="15639" max="15639" width="8.5703125" customWidth="1"/>
    <col min="15640" max="15640" width="11.42578125" customWidth="1"/>
    <col min="15873" max="15876" width="0" hidden="1" customWidth="1"/>
    <col min="15877" max="15877" width="9.28515625" bestFit="1" customWidth="1"/>
    <col min="15878" max="15878" width="44" customWidth="1"/>
    <col min="15879" max="15879" width="25" customWidth="1"/>
    <col min="15880" max="15880" width="26.28515625" bestFit="1" customWidth="1"/>
    <col min="15881" max="15881" width="40.140625" customWidth="1"/>
    <col min="15883" max="15883" width="9.85546875" bestFit="1" customWidth="1"/>
    <col min="15884" max="15884" width="9.28515625" bestFit="1" customWidth="1"/>
    <col min="15886" max="15886" width="23.140625" customWidth="1"/>
    <col min="15889" max="15889" width="9.28515625" bestFit="1" customWidth="1"/>
    <col min="15892" max="15892" width="9.85546875" bestFit="1" customWidth="1"/>
    <col min="15893" max="15893" width="12.140625" customWidth="1"/>
    <col min="15895" max="15895" width="8.5703125" customWidth="1"/>
    <col min="15896" max="15896" width="11.42578125" customWidth="1"/>
    <col min="16129" max="16132" width="0" hidden="1" customWidth="1"/>
    <col min="16133" max="16133" width="9.28515625" bestFit="1" customWidth="1"/>
    <col min="16134" max="16134" width="44" customWidth="1"/>
    <col min="16135" max="16135" width="25" customWidth="1"/>
    <col min="16136" max="16136" width="26.28515625" bestFit="1" customWidth="1"/>
    <col min="16137" max="16137" width="40.140625" customWidth="1"/>
    <col min="16139" max="16139" width="9.85546875" bestFit="1" customWidth="1"/>
    <col min="16140" max="16140" width="9.28515625" bestFit="1" customWidth="1"/>
    <col min="16142" max="16142" width="23.140625" customWidth="1"/>
    <col min="16145" max="16145" width="9.28515625" bestFit="1" customWidth="1"/>
    <col min="16148" max="16148" width="9.85546875" bestFit="1" customWidth="1"/>
    <col min="16149" max="16149" width="12.140625" customWidth="1"/>
    <col min="16151" max="16151" width="8.5703125" customWidth="1"/>
    <col min="16152" max="16152" width="11.42578125" customWidth="1"/>
  </cols>
  <sheetData>
    <row r="1" spans="1:24" x14ac:dyDescent="0.25">
      <c r="A1" s="28" t="s">
        <v>62</v>
      </c>
      <c r="B1" s="28"/>
      <c r="C1" s="28"/>
      <c r="D1" s="28"/>
      <c r="E1" s="28" t="s">
        <v>62</v>
      </c>
      <c r="F1" s="28"/>
      <c r="G1" s="28"/>
      <c r="H1" s="28"/>
      <c r="I1" s="29"/>
      <c r="J1" s="28"/>
      <c r="K1" s="28"/>
      <c r="L1" s="28"/>
      <c r="M1" s="28"/>
      <c r="N1" s="44"/>
      <c r="O1" s="28"/>
      <c r="P1" s="28"/>
      <c r="Q1" s="28"/>
    </row>
    <row r="2" spans="1:24" x14ac:dyDescent="0.25">
      <c r="A2" s="28"/>
      <c r="B2" s="28"/>
      <c r="C2" s="28"/>
      <c r="D2" s="28"/>
      <c r="E2" s="28"/>
      <c r="F2" s="28"/>
      <c r="G2" s="28"/>
      <c r="H2" s="28"/>
      <c r="I2" s="28"/>
      <c r="J2" s="28"/>
      <c r="K2" s="28"/>
      <c r="L2" s="28"/>
      <c r="M2" s="28"/>
      <c r="N2" s="44"/>
      <c r="O2" s="28"/>
      <c r="P2" s="28"/>
      <c r="Q2" s="28"/>
    </row>
    <row r="3" spans="1:24" x14ac:dyDescent="0.25">
      <c r="A3" s="28" t="s">
        <v>1</v>
      </c>
      <c r="B3" s="28"/>
      <c r="C3" s="28"/>
      <c r="D3" s="28"/>
      <c r="E3" s="28" t="s">
        <v>1</v>
      </c>
      <c r="F3" s="28"/>
      <c r="G3" s="28"/>
      <c r="H3" s="28"/>
      <c r="I3" s="29"/>
      <c r="J3" s="28"/>
      <c r="K3" s="28"/>
      <c r="L3" s="28"/>
      <c r="M3" s="28"/>
      <c r="N3" s="44"/>
      <c r="O3" s="28"/>
      <c r="P3" s="28"/>
      <c r="Q3" s="28"/>
    </row>
    <row r="4" spans="1:24" x14ac:dyDescent="0.25">
      <c r="A4" s="28" t="s">
        <v>2</v>
      </c>
      <c r="B4" s="28"/>
      <c r="C4" s="28"/>
      <c r="D4" s="28"/>
      <c r="E4" s="28" t="s">
        <v>2</v>
      </c>
      <c r="F4" s="28"/>
      <c r="G4" s="28"/>
      <c r="H4" s="28"/>
      <c r="I4" s="29"/>
      <c r="J4" s="28"/>
      <c r="K4" s="28"/>
      <c r="L4" s="28"/>
      <c r="M4" s="28"/>
      <c r="N4" s="44"/>
      <c r="O4" s="28"/>
      <c r="P4" s="28"/>
      <c r="Q4" s="28"/>
    </row>
    <row r="5" spans="1:24" x14ac:dyDescent="0.25">
      <c r="A5" s="28" t="s">
        <v>4</v>
      </c>
      <c r="B5" s="28"/>
      <c r="C5" s="28"/>
      <c r="D5" s="28"/>
      <c r="E5" s="28" t="s">
        <v>4</v>
      </c>
      <c r="F5" s="28"/>
      <c r="G5" s="28"/>
      <c r="H5" s="28"/>
      <c r="I5" s="29"/>
      <c r="J5" s="28"/>
      <c r="K5" s="28"/>
      <c r="L5" s="28"/>
      <c r="M5" s="28"/>
      <c r="N5" s="44"/>
      <c r="O5" s="28"/>
      <c r="P5" s="28"/>
      <c r="Q5" s="28"/>
    </row>
    <row r="6" spans="1:24" x14ac:dyDescent="0.25">
      <c r="A6" s="28" t="s">
        <v>63</v>
      </c>
      <c r="B6" s="28"/>
      <c r="C6" s="28"/>
      <c r="D6" s="28"/>
      <c r="E6" s="28" t="s">
        <v>63</v>
      </c>
      <c r="F6" s="28"/>
      <c r="G6" s="28"/>
      <c r="H6" s="28"/>
      <c r="I6" s="29"/>
      <c r="J6" s="28"/>
      <c r="K6" s="28"/>
      <c r="L6" s="28"/>
      <c r="M6" s="28"/>
      <c r="N6" s="44"/>
      <c r="O6" s="28"/>
      <c r="P6" s="28"/>
      <c r="Q6" s="28"/>
    </row>
    <row r="7" spans="1:24" x14ac:dyDescent="0.25">
      <c r="A7" s="28" t="s">
        <v>64</v>
      </c>
      <c r="B7" s="28"/>
      <c r="C7" s="28"/>
      <c r="D7" s="28"/>
      <c r="E7" s="28" t="s">
        <v>64</v>
      </c>
      <c r="F7" s="28"/>
      <c r="G7" s="28"/>
      <c r="H7" s="28"/>
      <c r="I7" s="29"/>
      <c r="J7" s="28"/>
      <c r="K7" s="28"/>
      <c r="L7" s="28"/>
      <c r="M7" s="28"/>
      <c r="N7" s="44"/>
      <c r="O7" s="28"/>
      <c r="P7" s="28"/>
      <c r="Q7" s="28"/>
    </row>
    <row r="8" spans="1:24" x14ac:dyDescent="0.25">
      <c r="A8" s="28" t="s">
        <v>65</v>
      </c>
      <c r="B8" s="28"/>
      <c r="C8" s="28"/>
      <c r="D8" s="28"/>
      <c r="E8" s="28" t="s">
        <v>65</v>
      </c>
      <c r="F8" s="28"/>
      <c r="G8" s="28"/>
      <c r="H8" s="28"/>
      <c r="I8" s="29"/>
      <c r="J8" s="28"/>
      <c r="K8" s="28"/>
      <c r="L8" s="28"/>
      <c r="M8" s="28"/>
      <c r="N8" s="44"/>
      <c r="O8" s="28"/>
      <c r="P8" s="28"/>
      <c r="Q8" s="28"/>
    </row>
    <row r="9" spans="1:24" x14ac:dyDescent="0.25">
      <c r="A9" s="28"/>
      <c r="B9" s="28"/>
      <c r="C9" s="28"/>
      <c r="D9" s="28"/>
      <c r="E9" s="28"/>
      <c r="F9" s="28"/>
      <c r="G9" s="28"/>
      <c r="H9" s="28"/>
      <c r="I9" s="28"/>
      <c r="J9" s="28"/>
      <c r="K9" s="28"/>
      <c r="L9" s="28"/>
      <c r="M9" s="28"/>
      <c r="N9" s="44"/>
      <c r="O9" s="28"/>
      <c r="P9" s="28"/>
      <c r="Q9" s="28"/>
    </row>
    <row r="10" spans="1:24" ht="15.75" thickBot="1" x14ac:dyDescent="0.3">
      <c r="A10" s="28"/>
      <c r="B10" s="28"/>
      <c r="C10" s="28"/>
      <c r="D10" s="28"/>
      <c r="E10" s="28"/>
      <c r="F10" s="28"/>
      <c r="G10" s="28"/>
      <c r="H10" s="28" t="s">
        <v>66</v>
      </c>
      <c r="I10" s="29"/>
      <c r="J10" s="28"/>
      <c r="K10" s="28" t="s">
        <v>67</v>
      </c>
      <c r="L10" s="28"/>
      <c r="M10" s="28"/>
      <c r="N10" s="44" t="s">
        <v>68</v>
      </c>
      <c r="O10" s="28"/>
      <c r="P10" s="28"/>
      <c r="Q10" s="28"/>
    </row>
    <row r="11" spans="1:24" ht="75.75" thickBot="1" x14ac:dyDescent="0.3">
      <c r="A11" s="28" t="s">
        <v>69</v>
      </c>
      <c r="B11" s="28" t="s">
        <v>70</v>
      </c>
      <c r="C11" s="28" t="s">
        <v>71</v>
      </c>
      <c r="D11" s="28" t="s">
        <v>72</v>
      </c>
      <c r="E11" s="28" t="s">
        <v>73</v>
      </c>
      <c r="F11" s="28" t="s">
        <v>74</v>
      </c>
      <c r="G11" s="28" t="s">
        <v>75</v>
      </c>
      <c r="H11" s="30" t="s">
        <v>76</v>
      </c>
      <c r="I11" s="31" t="s">
        <v>77</v>
      </c>
      <c r="J11" s="30"/>
      <c r="K11" s="30" t="s">
        <v>78</v>
      </c>
      <c r="L11" s="30" t="s">
        <v>79</v>
      </c>
      <c r="M11" s="30"/>
      <c r="N11" s="45" t="s">
        <v>80</v>
      </c>
      <c r="O11" s="30"/>
      <c r="P11" s="30"/>
      <c r="Q11" s="30"/>
      <c r="R11" s="32"/>
      <c r="S11" s="32"/>
      <c r="T11" s="33" t="s">
        <v>81</v>
      </c>
      <c r="U11" s="34" t="s">
        <v>82</v>
      </c>
      <c r="V11" s="32"/>
      <c r="W11" s="33" t="s">
        <v>83</v>
      </c>
      <c r="X11" s="34" t="s">
        <v>82</v>
      </c>
    </row>
    <row r="12" spans="1:24" x14ac:dyDescent="0.25">
      <c r="A12" s="28">
        <v>137862</v>
      </c>
      <c r="B12" s="28">
        <v>8922000</v>
      </c>
      <c r="C12" s="28">
        <v>892</v>
      </c>
      <c r="D12" s="28" t="s">
        <v>9</v>
      </c>
      <c r="E12" s="28">
        <v>2000</v>
      </c>
      <c r="F12" s="28" t="s">
        <v>84</v>
      </c>
      <c r="G12" s="28" t="s">
        <v>11</v>
      </c>
      <c r="H12" s="28">
        <v>550</v>
      </c>
      <c r="I12" s="29">
        <v>98</v>
      </c>
      <c r="J12" s="28"/>
      <c r="K12" s="28">
        <v>37259</v>
      </c>
      <c r="L12" s="28">
        <v>0</v>
      </c>
      <c r="M12" s="28"/>
      <c r="N12" s="44">
        <v>21734.416666666668</v>
      </c>
      <c r="O12" s="28"/>
      <c r="P12" s="28"/>
      <c r="Q12" s="28">
        <v>0</v>
      </c>
      <c r="T12" s="35">
        <v>37258.619999999995</v>
      </c>
      <c r="U12" s="35">
        <v>-0.38000000000465661</v>
      </c>
      <c r="W12" s="36">
        <v>21734</v>
      </c>
      <c r="X12" s="36">
        <v>0.41666666666787933</v>
      </c>
    </row>
    <row r="13" spans="1:24" x14ac:dyDescent="0.25">
      <c r="A13" s="28">
        <v>137863</v>
      </c>
      <c r="B13" s="28">
        <v>8922001</v>
      </c>
      <c r="C13" s="28">
        <v>892</v>
      </c>
      <c r="D13" s="28" t="s">
        <v>9</v>
      </c>
      <c r="E13" s="28">
        <v>2001</v>
      </c>
      <c r="F13" s="28" t="s">
        <v>85</v>
      </c>
      <c r="G13" s="28" t="s">
        <v>11</v>
      </c>
      <c r="H13" s="28">
        <v>463</v>
      </c>
      <c r="I13" s="29">
        <v>64</v>
      </c>
      <c r="J13" s="28"/>
      <c r="K13" s="28">
        <v>24333</v>
      </c>
      <c r="L13" s="28">
        <v>0</v>
      </c>
      <c r="M13" s="28"/>
      <c r="N13" s="44">
        <v>14194.25</v>
      </c>
      <c r="O13" s="28"/>
      <c r="P13" s="28"/>
      <c r="Q13" s="28">
        <v>0</v>
      </c>
      <c r="T13" s="35">
        <v>24332.159999999996</v>
      </c>
      <c r="U13" s="35">
        <v>-0.8400000000037835</v>
      </c>
      <c r="W13" s="36">
        <v>14194</v>
      </c>
      <c r="X13" s="36">
        <v>0.25</v>
      </c>
    </row>
    <row r="14" spans="1:24" x14ac:dyDescent="0.25">
      <c r="A14" s="28">
        <v>139429</v>
      </c>
      <c r="B14" s="28">
        <v>8922006</v>
      </c>
      <c r="C14" s="28">
        <v>892</v>
      </c>
      <c r="D14" s="28" t="s">
        <v>9</v>
      </c>
      <c r="E14" s="28">
        <v>2006</v>
      </c>
      <c r="F14" s="28" t="s">
        <v>51</v>
      </c>
      <c r="G14" s="28" t="s">
        <v>11</v>
      </c>
      <c r="H14" s="28">
        <v>684</v>
      </c>
      <c r="I14" s="29">
        <v>192</v>
      </c>
      <c r="J14" s="28"/>
      <c r="K14" s="28">
        <v>72997</v>
      </c>
      <c r="L14" s="28">
        <v>0</v>
      </c>
      <c r="M14" s="28"/>
      <c r="N14" s="44">
        <v>42581.583333333336</v>
      </c>
      <c r="O14" s="28"/>
      <c r="P14" s="28"/>
      <c r="Q14" s="28">
        <v>0</v>
      </c>
      <c r="T14" s="35">
        <v>72996.479999999996</v>
      </c>
      <c r="U14" s="35">
        <v>-0.52000000000407454</v>
      </c>
      <c r="W14" s="36">
        <v>42581</v>
      </c>
      <c r="X14" s="36">
        <v>0.58333333333575865</v>
      </c>
    </row>
    <row r="15" spans="1:24" x14ac:dyDescent="0.25">
      <c r="A15" s="28">
        <v>139430</v>
      </c>
      <c r="B15" s="28">
        <v>8922007</v>
      </c>
      <c r="C15" s="28">
        <v>892</v>
      </c>
      <c r="D15" s="28" t="s">
        <v>9</v>
      </c>
      <c r="E15" s="28">
        <v>2007</v>
      </c>
      <c r="F15" s="28" t="s">
        <v>52</v>
      </c>
      <c r="G15" s="28" t="s">
        <v>11</v>
      </c>
      <c r="H15" s="28">
        <v>521</v>
      </c>
      <c r="I15" s="29">
        <v>146</v>
      </c>
      <c r="J15" s="28"/>
      <c r="K15" s="28">
        <v>55508</v>
      </c>
      <c r="L15" s="28">
        <v>0</v>
      </c>
      <c r="M15" s="28"/>
      <c r="N15" s="44">
        <v>32379.666666666668</v>
      </c>
      <c r="O15" s="28"/>
      <c r="P15" s="28"/>
      <c r="Q15" s="28">
        <v>0</v>
      </c>
      <c r="T15" s="35">
        <v>55507.739999999991</v>
      </c>
      <c r="U15" s="35">
        <v>-0.26000000000931323</v>
      </c>
      <c r="W15" s="36">
        <v>32380</v>
      </c>
      <c r="X15" s="36">
        <v>-0.33333333333212067</v>
      </c>
    </row>
    <row r="16" spans="1:24" x14ac:dyDescent="0.25">
      <c r="A16" s="28">
        <v>122407</v>
      </c>
      <c r="B16" s="28">
        <v>8922045</v>
      </c>
      <c r="C16" s="28">
        <v>892</v>
      </c>
      <c r="D16" s="28" t="s">
        <v>9</v>
      </c>
      <c r="E16" s="28">
        <v>2045</v>
      </c>
      <c r="F16" s="28" t="s">
        <v>10</v>
      </c>
      <c r="G16" s="28" t="s">
        <v>11</v>
      </c>
      <c r="H16" s="28">
        <v>283</v>
      </c>
      <c r="I16" s="29">
        <v>60</v>
      </c>
      <c r="J16" s="28"/>
      <c r="K16" s="28">
        <v>22812</v>
      </c>
      <c r="L16" s="28">
        <v>0</v>
      </c>
      <c r="M16" s="28"/>
      <c r="N16" s="44">
        <v>13307</v>
      </c>
      <c r="O16" s="28"/>
      <c r="P16" s="28"/>
      <c r="Q16" s="28">
        <v>0</v>
      </c>
      <c r="T16" s="35">
        <v>22811.4</v>
      </c>
      <c r="U16" s="35">
        <v>-0.59999999999854481</v>
      </c>
      <c r="W16" s="36">
        <v>13307</v>
      </c>
      <c r="X16" s="36">
        <v>0</v>
      </c>
    </row>
    <row r="17" spans="1:24" x14ac:dyDescent="0.25">
      <c r="A17" s="28">
        <v>122413</v>
      </c>
      <c r="B17" s="28">
        <v>8922056</v>
      </c>
      <c r="C17" s="28">
        <v>892</v>
      </c>
      <c r="D17" s="28" t="s">
        <v>9</v>
      </c>
      <c r="E17" s="28">
        <v>2056</v>
      </c>
      <c r="F17" s="28" t="s">
        <v>12</v>
      </c>
      <c r="G17" s="28" t="s">
        <v>11</v>
      </c>
      <c r="H17" s="28">
        <v>484</v>
      </c>
      <c r="I17" s="29">
        <v>124</v>
      </c>
      <c r="J17" s="28"/>
      <c r="K17" s="28">
        <v>47144</v>
      </c>
      <c r="L17" s="28">
        <v>0</v>
      </c>
      <c r="M17" s="28"/>
      <c r="N17" s="44">
        <v>27500.666666666668</v>
      </c>
      <c r="O17" s="28"/>
      <c r="P17" s="28"/>
      <c r="Q17" s="28">
        <v>0</v>
      </c>
      <c r="T17" s="35">
        <v>47143.56</v>
      </c>
      <c r="U17" s="35">
        <v>-0.44000000000232831</v>
      </c>
      <c r="W17" s="36">
        <v>27500</v>
      </c>
      <c r="X17" s="36">
        <v>0.66666666666787933</v>
      </c>
    </row>
    <row r="18" spans="1:24" x14ac:dyDescent="0.25">
      <c r="A18" s="28">
        <v>122414</v>
      </c>
      <c r="B18" s="28">
        <v>8922057</v>
      </c>
      <c r="C18" s="28">
        <v>892</v>
      </c>
      <c r="D18" s="28" t="s">
        <v>9</v>
      </c>
      <c r="E18" s="28">
        <v>2057</v>
      </c>
      <c r="F18" s="28" t="s">
        <v>13</v>
      </c>
      <c r="G18" s="28" t="s">
        <v>11</v>
      </c>
      <c r="H18" s="28">
        <v>235</v>
      </c>
      <c r="I18" s="29">
        <v>79</v>
      </c>
      <c r="J18" s="28"/>
      <c r="K18" s="28">
        <v>30036</v>
      </c>
      <c r="L18" s="28">
        <v>0</v>
      </c>
      <c r="M18" s="28"/>
      <c r="N18" s="44">
        <v>17521</v>
      </c>
      <c r="O18" s="28"/>
      <c r="P18" s="28"/>
      <c r="Q18" s="28">
        <v>0</v>
      </c>
      <c r="T18" s="35">
        <v>30035.01</v>
      </c>
      <c r="U18" s="35">
        <v>-0.99000000000160071</v>
      </c>
      <c r="W18" s="36">
        <v>17520</v>
      </c>
      <c r="X18" s="36">
        <v>1</v>
      </c>
    </row>
    <row r="19" spans="1:24" x14ac:dyDescent="0.25">
      <c r="A19" s="28">
        <v>122416</v>
      </c>
      <c r="B19" s="28">
        <v>8922061</v>
      </c>
      <c r="C19" s="28">
        <v>892</v>
      </c>
      <c r="D19" s="28" t="s">
        <v>9</v>
      </c>
      <c r="E19" s="28">
        <v>2061</v>
      </c>
      <c r="F19" s="28" t="s">
        <v>14</v>
      </c>
      <c r="G19" s="28" t="s">
        <v>11</v>
      </c>
      <c r="H19" s="28">
        <v>317</v>
      </c>
      <c r="I19" s="29">
        <v>135</v>
      </c>
      <c r="J19" s="28"/>
      <c r="K19" s="28">
        <v>51326</v>
      </c>
      <c r="L19" s="28">
        <v>0</v>
      </c>
      <c r="M19" s="28"/>
      <c r="N19" s="44">
        <v>29940.166666666668</v>
      </c>
      <c r="O19" s="28"/>
      <c r="P19" s="28"/>
      <c r="Q19" s="28">
        <v>0</v>
      </c>
      <c r="T19" s="35">
        <v>51325.65</v>
      </c>
      <c r="U19" s="35">
        <v>-0.34999999999854481</v>
      </c>
      <c r="W19" s="36">
        <v>29940</v>
      </c>
      <c r="X19" s="36">
        <v>0.16666666666787933</v>
      </c>
    </row>
    <row r="20" spans="1:24" x14ac:dyDescent="0.25">
      <c r="A20" s="28">
        <v>122426</v>
      </c>
      <c r="B20" s="28">
        <v>8922079</v>
      </c>
      <c r="C20" s="28">
        <v>892</v>
      </c>
      <c r="D20" s="28" t="s">
        <v>9</v>
      </c>
      <c r="E20" s="28">
        <v>2079</v>
      </c>
      <c r="F20" s="28" t="s">
        <v>15</v>
      </c>
      <c r="G20" s="28" t="s">
        <v>11</v>
      </c>
      <c r="H20" s="28">
        <v>264</v>
      </c>
      <c r="I20" s="29">
        <v>53</v>
      </c>
      <c r="J20" s="28"/>
      <c r="K20" s="28">
        <v>20151</v>
      </c>
      <c r="L20" s="28">
        <v>0</v>
      </c>
      <c r="M20" s="28"/>
      <c r="N20" s="44">
        <v>11754.75</v>
      </c>
      <c r="O20" s="28"/>
      <c r="P20" s="28"/>
      <c r="Q20" s="28">
        <v>0</v>
      </c>
      <c r="T20" s="35">
        <v>20150.07</v>
      </c>
      <c r="U20" s="35">
        <v>-0.93000000000029104</v>
      </c>
      <c r="W20" s="36">
        <v>11754</v>
      </c>
      <c r="X20" s="36">
        <v>0.75</v>
      </c>
    </row>
    <row r="21" spans="1:24" x14ac:dyDescent="0.25">
      <c r="A21" s="28">
        <v>122427</v>
      </c>
      <c r="B21" s="28">
        <v>8922080</v>
      </c>
      <c r="C21" s="28">
        <v>892</v>
      </c>
      <c r="D21" s="28" t="s">
        <v>9</v>
      </c>
      <c r="E21" s="28">
        <v>2080</v>
      </c>
      <c r="F21" s="28" t="s">
        <v>16</v>
      </c>
      <c r="G21" s="28" t="s">
        <v>11</v>
      </c>
      <c r="H21" s="28">
        <v>479</v>
      </c>
      <c r="I21" s="29">
        <v>177</v>
      </c>
      <c r="J21" s="28"/>
      <c r="K21" s="28">
        <v>67294</v>
      </c>
      <c r="L21" s="28">
        <v>0</v>
      </c>
      <c r="M21" s="28"/>
      <c r="N21" s="44">
        <v>39254.833333333336</v>
      </c>
      <c r="O21" s="28"/>
      <c r="P21" s="28"/>
      <c r="Q21" s="28">
        <v>0</v>
      </c>
      <c r="T21" s="35">
        <v>67293.63</v>
      </c>
      <c r="U21" s="35">
        <v>-0.36999999999534339</v>
      </c>
      <c r="W21" s="36">
        <v>39255</v>
      </c>
      <c r="X21" s="36">
        <v>-0.16666666666424135</v>
      </c>
    </row>
    <row r="22" spans="1:24" x14ac:dyDescent="0.25">
      <c r="A22" s="28">
        <v>122429</v>
      </c>
      <c r="B22" s="28">
        <v>8922082</v>
      </c>
      <c r="C22" s="28">
        <v>892</v>
      </c>
      <c r="D22" s="28" t="s">
        <v>9</v>
      </c>
      <c r="E22" s="28">
        <v>2082</v>
      </c>
      <c r="F22" s="28" t="s">
        <v>17</v>
      </c>
      <c r="G22" s="28" t="s">
        <v>11</v>
      </c>
      <c r="H22" s="28">
        <v>228</v>
      </c>
      <c r="I22" s="29">
        <v>39</v>
      </c>
      <c r="J22" s="28"/>
      <c r="K22" s="28">
        <v>14828</v>
      </c>
      <c r="L22" s="28">
        <v>0</v>
      </c>
      <c r="M22" s="28"/>
      <c r="N22" s="44">
        <v>8649.6666666666661</v>
      </c>
      <c r="O22" s="28"/>
      <c r="P22" s="28"/>
      <c r="Q22" s="28">
        <v>0</v>
      </c>
      <c r="T22" s="35">
        <v>14827.409999999996</v>
      </c>
      <c r="U22" s="35">
        <v>-0.5900000000037835</v>
      </c>
      <c r="W22" s="36">
        <v>8649</v>
      </c>
      <c r="X22" s="36">
        <v>0.66666666666606034</v>
      </c>
    </row>
    <row r="23" spans="1:24" x14ac:dyDescent="0.25">
      <c r="A23" s="28">
        <v>122435</v>
      </c>
      <c r="B23" s="28">
        <v>8922088</v>
      </c>
      <c r="C23" s="28">
        <v>892</v>
      </c>
      <c r="D23" s="28" t="s">
        <v>9</v>
      </c>
      <c r="E23" s="28">
        <v>2088</v>
      </c>
      <c r="F23" s="28" t="s">
        <v>86</v>
      </c>
      <c r="G23" s="28" t="s">
        <v>11</v>
      </c>
      <c r="H23" s="28">
        <v>201</v>
      </c>
      <c r="I23" s="29">
        <v>55</v>
      </c>
      <c r="J23" s="28"/>
      <c r="K23" s="28">
        <v>20911</v>
      </c>
      <c r="L23" s="28">
        <v>0</v>
      </c>
      <c r="M23" s="28"/>
      <c r="N23" s="44">
        <v>12198.083333333334</v>
      </c>
      <c r="O23" s="28"/>
      <c r="P23" s="28"/>
      <c r="Q23" s="28">
        <v>0</v>
      </c>
      <c r="T23" s="35">
        <v>20910.449999999997</v>
      </c>
      <c r="U23" s="35">
        <v>-0.55000000000291038</v>
      </c>
      <c r="W23" s="36">
        <v>12198</v>
      </c>
      <c r="X23" s="36">
        <v>8.3333333333939663E-2</v>
      </c>
    </row>
    <row r="24" spans="1:24" x14ac:dyDescent="0.25">
      <c r="A24" s="28">
        <v>122437</v>
      </c>
      <c r="B24" s="28">
        <v>8922090</v>
      </c>
      <c r="C24" s="28">
        <v>892</v>
      </c>
      <c r="D24" s="28" t="s">
        <v>9</v>
      </c>
      <c r="E24" s="28">
        <v>2090</v>
      </c>
      <c r="F24" s="28" t="s">
        <v>87</v>
      </c>
      <c r="G24" s="28" t="s">
        <v>11</v>
      </c>
      <c r="H24" s="28">
        <v>382</v>
      </c>
      <c r="I24" s="29">
        <v>153</v>
      </c>
      <c r="J24" s="28"/>
      <c r="K24" s="28">
        <v>58170</v>
      </c>
      <c r="L24" s="28">
        <v>0</v>
      </c>
      <c r="M24" s="28"/>
      <c r="N24" s="44">
        <v>33932.5</v>
      </c>
      <c r="O24" s="28"/>
      <c r="P24" s="28"/>
      <c r="Q24" s="28">
        <v>0</v>
      </c>
      <c r="T24" s="35">
        <v>58169.07</v>
      </c>
      <c r="U24" s="35">
        <v>-0.93000000000029104</v>
      </c>
      <c r="W24" s="36">
        <v>33932</v>
      </c>
      <c r="X24" s="36">
        <v>0.5</v>
      </c>
    </row>
    <row r="25" spans="1:24" x14ac:dyDescent="0.25">
      <c r="A25" s="28">
        <v>122442</v>
      </c>
      <c r="B25" s="28">
        <v>8922095</v>
      </c>
      <c r="C25" s="28">
        <v>892</v>
      </c>
      <c r="D25" s="28" t="s">
        <v>9</v>
      </c>
      <c r="E25" s="28">
        <v>2095</v>
      </c>
      <c r="F25" s="28" t="s">
        <v>19</v>
      </c>
      <c r="G25" s="28" t="s">
        <v>11</v>
      </c>
      <c r="H25" s="28">
        <v>324</v>
      </c>
      <c r="I25" s="29">
        <v>112</v>
      </c>
      <c r="J25" s="28"/>
      <c r="K25" s="28">
        <v>42582</v>
      </c>
      <c r="L25" s="28">
        <v>0</v>
      </c>
      <c r="M25" s="28"/>
      <c r="N25" s="44">
        <v>24839.5</v>
      </c>
      <c r="O25" s="28"/>
      <c r="P25" s="28"/>
      <c r="Q25" s="28">
        <v>0</v>
      </c>
      <c r="T25" s="35">
        <v>42581.279999999992</v>
      </c>
      <c r="U25" s="35">
        <v>-0.72000000000844011</v>
      </c>
      <c r="W25" s="36">
        <v>24839</v>
      </c>
      <c r="X25" s="36">
        <v>0.5</v>
      </c>
    </row>
    <row r="26" spans="1:24" x14ac:dyDescent="0.25">
      <c r="A26" s="28">
        <v>122444</v>
      </c>
      <c r="B26" s="28">
        <v>8922097</v>
      </c>
      <c r="C26" s="28">
        <v>892</v>
      </c>
      <c r="D26" s="28" t="s">
        <v>9</v>
      </c>
      <c r="E26" s="28">
        <v>2097</v>
      </c>
      <c r="F26" s="28" t="s">
        <v>20</v>
      </c>
      <c r="G26" s="28" t="s">
        <v>11</v>
      </c>
      <c r="H26" s="28">
        <v>244</v>
      </c>
      <c r="I26" s="29">
        <v>54</v>
      </c>
      <c r="J26" s="28"/>
      <c r="K26" s="28">
        <v>20531</v>
      </c>
      <c r="L26" s="28">
        <v>0</v>
      </c>
      <c r="M26" s="28"/>
      <c r="N26" s="44">
        <v>11976.416666666666</v>
      </c>
      <c r="O26" s="28"/>
      <c r="P26" s="28"/>
      <c r="Q26" s="28">
        <v>0</v>
      </c>
      <c r="T26" s="35">
        <v>20530.259999999998</v>
      </c>
      <c r="U26" s="35">
        <v>-0.74000000000160071</v>
      </c>
      <c r="W26" s="36">
        <v>11976</v>
      </c>
      <c r="X26" s="36">
        <v>0.41666666666606034</v>
      </c>
    </row>
    <row r="27" spans="1:24" x14ac:dyDescent="0.25">
      <c r="A27" s="28">
        <v>122456</v>
      </c>
      <c r="B27" s="28">
        <v>8922117</v>
      </c>
      <c r="C27" s="28">
        <v>892</v>
      </c>
      <c r="D27" s="28" t="s">
        <v>9</v>
      </c>
      <c r="E27" s="28">
        <v>2117</v>
      </c>
      <c r="F27" s="28" t="s">
        <v>21</v>
      </c>
      <c r="G27" s="28" t="s">
        <v>11</v>
      </c>
      <c r="H27" s="28">
        <v>438</v>
      </c>
      <c r="I27" s="29">
        <v>107</v>
      </c>
      <c r="J27" s="28"/>
      <c r="K27" s="28">
        <v>40681</v>
      </c>
      <c r="L27" s="28">
        <v>0</v>
      </c>
      <c r="M27" s="28"/>
      <c r="N27" s="44">
        <v>23730.583333333332</v>
      </c>
      <c r="O27" s="28"/>
      <c r="P27" s="28"/>
      <c r="Q27" s="28">
        <v>0</v>
      </c>
      <c r="T27" s="35">
        <v>40680.33</v>
      </c>
      <c r="U27" s="35">
        <v>-0.66999999999825377</v>
      </c>
      <c r="W27" s="36">
        <v>23730</v>
      </c>
      <c r="X27" s="36">
        <v>0.58333333333212067</v>
      </c>
    </row>
    <row r="28" spans="1:24" x14ac:dyDescent="0.25">
      <c r="A28" s="28">
        <v>122465</v>
      </c>
      <c r="B28" s="28">
        <v>8922128</v>
      </c>
      <c r="C28" s="28">
        <v>892</v>
      </c>
      <c r="D28" s="28" t="s">
        <v>9</v>
      </c>
      <c r="E28" s="28">
        <v>2128</v>
      </c>
      <c r="F28" s="28" t="s">
        <v>22</v>
      </c>
      <c r="G28" s="28" t="s">
        <v>11</v>
      </c>
      <c r="H28" s="28">
        <v>210</v>
      </c>
      <c r="I28" s="29">
        <v>60</v>
      </c>
      <c r="J28" s="28"/>
      <c r="K28" s="28">
        <v>22812</v>
      </c>
      <c r="L28" s="28">
        <v>0</v>
      </c>
      <c r="M28" s="28"/>
      <c r="N28" s="44">
        <v>13307</v>
      </c>
      <c r="O28" s="28"/>
      <c r="P28" s="28"/>
      <c r="Q28" s="28">
        <v>0</v>
      </c>
      <c r="T28" s="35">
        <v>22811.4</v>
      </c>
      <c r="U28" s="35">
        <v>-0.59999999999854481</v>
      </c>
      <c r="W28" s="36">
        <v>13307</v>
      </c>
      <c r="X28" s="36">
        <v>0</v>
      </c>
    </row>
    <row r="29" spans="1:24" x14ac:dyDescent="0.25">
      <c r="A29" s="28">
        <v>122466</v>
      </c>
      <c r="B29" s="28">
        <v>8922129</v>
      </c>
      <c r="C29" s="28">
        <v>892</v>
      </c>
      <c r="D29" s="28" t="s">
        <v>9</v>
      </c>
      <c r="E29" s="28">
        <v>2129</v>
      </c>
      <c r="F29" s="28" t="s">
        <v>23</v>
      </c>
      <c r="G29" s="28" t="s">
        <v>11</v>
      </c>
      <c r="H29" s="28">
        <v>361</v>
      </c>
      <c r="I29" s="29">
        <v>338</v>
      </c>
      <c r="J29" s="28"/>
      <c r="K29" s="28">
        <v>128505</v>
      </c>
      <c r="L29" s="28">
        <v>0</v>
      </c>
      <c r="M29" s="28"/>
      <c r="N29" s="44">
        <v>74961.25</v>
      </c>
      <c r="O29" s="28"/>
      <c r="P29" s="28"/>
      <c r="Q29" s="28">
        <v>0</v>
      </c>
      <c r="T29" s="35">
        <v>128504.22</v>
      </c>
      <c r="U29" s="35">
        <v>-0.77999999999883585</v>
      </c>
      <c r="W29" s="36">
        <v>74961</v>
      </c>
      <c r="X29" s="36">
        <v>0.25</v>
      </c>
    </row>
    <row r="30" spans="1:24" x14ac:dyDescent="0.25">
      <c r="A30" s="28">
        <v>122474</v>
      </c>
      <c r="B30" s="28">
        <v>8922151</v>
      </c>
      <c r="C30" s="28">
        <v>892</v>
      </c>
      <c r="D30" s="28" t="s">
        <v>9</v>
      </c>
      <c r="E30" s="28">
        <v>2151</v>
      </c>
      <c r="F30" s="28" t="s">
        <v>24</v>
      </c>
      <c r="G30" s="28" t="s">
        <v>11</v>
      </c>
      <c r="H30" s="28">
        <v>478</v>
      </c>
      <c r="I30" s="29">
        <v>122</v>
      </c>
      <c r="J30" s="28"/>
      <c r="K30" s="28">
        <v>46384</v>
      </c>
      <c r="L30" s="28">
        <v>0</v>
      </c>
      <c r="M30" s="28"/>
      <c r="N30" s="44">
        <v>27057.333333333332</v>
      </c>
      <c r="O30" s="28"/>
      <c r="P30" s="28"/>
      <c r="Q30" s="28">
        <v>0</v>
      </c>
      <c r="T30" s="35">
        <v>46383.179999999993</v>
      </c>
      <c r="U30" s="35">
        <v>-0.82000000000698492</v>
      </c>
      <c r="W30" s="36">
        <v>27057</v>
      </c>
      <c r="X30" s="36">
        <v>0.33333333333212067</v>
      </c>
    </row>
    <row r="31" spans="1:24" x14ac:dyDescent="0.25">
      <c r="A31" s="28">
        <v>122476</v>
      </c>
      <c r="B31" s="28">
        <v>8922153</v>
      </c>
      <c r="C31" s="28">
        <v>892</v>
      </c>
      <c r="D31" s="28" t="s">
        <v>9</v>
      </c>
      <c r="E31" s="28">
        <v>2153</v>
      </c>
      <c r="F31" s="28" t="s">
        <v>25</v>
      </c>
      <c r="G31" s="28" t="s">
        <v>11</v>
      </c>
      <c r="H31" s="28">
        <v>438</v>
      </c>
      <c r="I31" s="29">
        <v>72</v>
      </c>
      <c r="J31" s="28"/>
      <c r="K31" s="28">
        <v>27374</v>
      </c>
      <c r="L31" s="28">
        <v>0</v>
      </c>
      <c r="M31" s="28"/>
      <c r="N31" s="44">
        <v>15968.166666666666</v>
      </c>
      <c r="O31" s="28"/>
      <c r="P31" s="28"/>
      <c r="Q31" s="28">
        <v>0</v>
      </c>
      <c r="T31" s="35">
        <v>27373.68</v>
      </c>
      <c r="U31" s="35">
        <v>-0.31999999999970896</v>
      </c>
      <c r="W31" s="36">
        <v>15968</v>
      </c>
      <c r="X31" s="36">
        <v>0.16666666666606034</v>
      </c>
    </row>
    <row r="32" spans="1:24" x14ac:dyDescent="0.25">
      <c r="A32" s="28">
        <v>122478</v>
      </c>
      <c r="B32" s="28">
        <v>8922155</v>
      </c>
      <c r="C32" s="28">
        <v>892</v>
      </c>
      <c r="D32" s="28" t="s">
        <v>9</v>
      </c>
      <c r="E32" s="28">
        <v>2155</v>
      </c>
      <c r="F32" s="28" t="s">
        <v>26</v>
      </c>
      <c r="G32" s="28" t="s">
        <v>11</v>
      </c>
      <c r="H32" s="28">
        <v>446</v>
      </c>
      <c r="I32" s="29">
        <v>126</v>
      </c>
      <c r="J32" s="28"/>
      <c r="K32" s="28">
        <v>47904</v>
      </c>
      <c r="L32" s="28">
        <v>0</v>
      </c>
      <c r="M32" s="28"/>
      <c r="N32" s="44">
        <v>27944</v>
      </c>
      <c r="O32" s="28"/>
      <c r="P32" s="28"/>
      <c r="Q32" s="28">
        <v>0</v>
      </c>
      <c r="T32" s="35">
        <v>47903.939999999995</v>
      </c>
      <c r="U32" s="35">
        <v>-6.0000000004947651E-2</v>
      </c>
      <c r="W32" s="36">
        <v>27944</v>
      </c>
      <c r="X32" s="36">
        <v>0</v>
      </c>
    </row>
    <row r="33" spans="1:24" x14ac:dyDescent="0.25">
      <c r="A33" s="28">
        <v>122480</v>
      </c>
      <c r="B33" s="28">
        <v>8922157</v>
      </c>
      <c r="C33" s="28">
        <v>892</v>
      </c>
      <c r="D33" s="28" t="s">
        <v>9</v>
      </c>
      <c r="E33" s="28">
        <v>2157</v>
      </c>
      <c r="F33" s="28" t="s">
        <v>27</v>
      </c>
      <c r="G33" s="28" t="s">
        <v>11</v>
      </c>
      <c r="H33" s="28">
        <v>301</v>
      </c>
      <c r="I33" s="29">
        <v>90</v>
      </c>
      <c r="J33" s="28"/>
      <c r="K33" s="28">
        <v>34218</v>
      </c>
      <c r="L33" s="28">
        <v>0</v>
      </c>
      <c r="M33" s="28"/>
      <c r="N33" s="44">
        <v>19960.5</v>
      </c>
      <c r="O33" s="28"/>
      <c r="P33" s="28"/>
      <c r="Q33" s="28">
        <v>0</v>
      </c>
      <c r="T33" s="35">
        <v>34217.099999999991</v>
      </c>
      <c r="U33" s="35">
        <v>-0.90000000000873115</v>
      </c>
      <c r="W33" s="36">
        <v>19960</v>
      </c>
      <c r="X33" s="36">
        <v>0.5</v>
      </c>
    </row>
    <row r="34" spans="1:24" x14ac:dyDescent="0.25">
      <c r="A34" s="28">
        <v>122481</v>
      </c>
      <c r="B34" s="28">
        <v>8922158</v>
      </c>
      <c r="C34" s="28">
        <v>892</v>
      </c>
      <c r="D34" s="28" t="s">
        <v>9</v>
      </c>
      <c r="E34" s="28">
        <v>2158</v>
      </c>
      <c r="F34" s="28" t="s">
        <v>28</v>
      </c>
      <c r="G34" s="28" t="s">
        <v>11</v>
      </c>
      <c r="H34" s="28">
        <v>255</v>
      </c>
      <c r="I34" s="29">
        <v>54</v>
      </c>
      <c r="J34" s="28"/>
      <c r="K34" s="28">
        <v>20531</v>
      </c>
      <c r="L34" s="28">
        <v>0</v>
      </c>
      <c r="M34" s="28"/>
      <c r="N34" s="44">
        <v>11976.416666666666</v>
      </c>
      <c r="O34" s="28"/>
      <c r="P34" s="28"/>
      <c r="Q34" s="28">
        <v>0</v>
      </c>
      <c r="T34" s="35">
        <v>20530.259999999998</v>
      </c>
      <c r="U34" s="35">
        <v>-0.74000000000160071</v>
      </c>
      <c r="W34" s="36">
        <v>11976</v>
      </c>
      <c r="X34" s="36">
        <v>0.41666666666606034</v>
      </c>
    </row>
    <row r="35" spans="1:24" x14ac:dyDescent="0.25">
      <c r="A35" s="28">
        <v>122486</v>
      </c>
      <c r="B35" s="28">
        <v>8922163</v>
      </c>
      <c r="C35" s="28">
        <v>892</v>
      </c>
      <c r="D35" s="28" t="s">
        <v>9</v>
      </c>
      <c r="E35" s="28">
        <v>2163</v>
      </c>
      <c r="F35" s="28" t="s">
        <v>29</v>
      </c>
      <c r="G35" s="28" t="s">
        <v>11</v>
      </c>
      <c r="H35" s="28">
        <v>472</v>
      </c>
      <c r="I35" s="29">
        <v>159</v>
      </c>
      <c r="J35" s="28"/>
      <c r="K35" s="28">
        <v>60451</v>
      </c>
      <c r="L35" s="28">
        <v>0</v>
      </c>
      <c r="M35" s="28"/>
      <c r="N35" s="44">
        <v>35263.083333333336</v>
      </c>
      <c r="O35" s="28"/>
      <c r="P35" s="28"/>
      <c r="Q35" s="28">
        <v>0</v>
      </c>
      <c r="T35" s="35">
        <v>60450.21</v>
      </c>
      <c r="U35" s="35">
        <v>-0.79000000000087311</v>
      </c>
      <c r="W35" s="36">
        <v>35263</v>
      </c>
      <c r="X35" s="36">
        <v>8.3333333335758653E-2</v>
      </c>
    </row>
    <row r="36" spans="1:24" x14ac:dyDescent="0.25">
      <c r="A36" s="28">
        <v>122493</v>
      </c>
      <c r="B36" s="28">
        <v>8922170</v>
      </c>
      <c r="C36" s="28">
        <v>892</v>
      </c>
      <c r="D36" s="28" t="s">
        <v>9</v>
      </c>
      <c r="E36" s="28">
        <v>2170</v>
      </c>
      <c r="F36" s="28" t="s">
        <v>30</v>
      </c>
      <c r="G36" s="28" t="s">
        <v>11</v>
      </c>
      <c r="H36" s="28">
        <v>479</v>
      </c>
      <c r="I36" s="29">
        <v>141</v>
      </c>
      <c r="J36" s="28"/>
      <c r="K36" s="28">
        <v>53607</v>
      </c>
      <c r="L36" s="28">
        <v>0</v>
      </c>
      <c r="M36" s="28"/>
      <c r="N36" s="44">
        <v>31270.75</v>
      </c>
      <c r="O36" s="28"/>
      <c r="P36" s="28"/>
      <c r="Q36" s="28">
        <v>0</v>
      </c>
      <c r="T36" s="35">
        <v>53606.789999999994</v>
      </c>
      <c r="U36" s="35">
        <v>-0.21000000000640284</v>
      </c>
      <c r="W36" s="36">
        <v>31271</v>
      </c>
      <c r="X36" s="36">
        <v>-0.25</v>
      </c>
    </row>
    <row r="37" spans="1:24" x14ac:dyDescent="0.25">
      <c r="A37" s="28">
        <v>122508</v>
      </c>
      <c r="B37" s="28">
        <v>8922190</v>
      </c>
      <c r="C37" s="28">
        <v>892</v>
      </c>
      <c r="D37" s="28" t="s">
        <v>9</v>
      </c>
      <c r="E37" s="28">
        <v>2190</v>
      </c>
      <c r="F37" s="28" t="s">
        <v>31</v>
      </c>
      <c r="G37" s="28" t="s">
        <v>11</v>
      </c>
      <c r="H37" s="28">
        <v>189</v>
      </c>
      <c r="I37" s="29">
        <v>56.5</v>
      </c>
      <c r="J37" s="28"/>
      <c r="K37" s="28">
        <v>21481</v>
      </c>
      <c r="L37" s="28">
        <v>0</v>
      </c>
      <c r="M37" s="28"/>
      <c r="N37" s="44">
        <v>12530.583333333334</v>
      </c>
      <c r="O37" s="28"/>
      <c r="P37" s="28"/>
      <c r="Q37" s="28">
        <v>0</v>
      </c>
      <c r="T37" s="35">
        <v>21480.734999999997</v>
      </c>
      <c r="U37" s="35">
        <v>-0.2650000000030559</v>
      </c>
      <c r="W37" s="36">
        <v>12530</v>
      </c>
      <c r="X37" s="36">
        <v>0.58333333333393966</v>
      </c>
    </row>
    <row r="38" spans="1:24" x14ac:dyDescent="0.25">
      <c r="A38" s="28">
        <v>122561</v>
      </c>
      <c r="B38" s="28">
        <v>8922360</v>
      </c>
      <c r="C38" s="28">
        <v>892</v>
      </c>
      <c r="D38" s="28" t="s">
        <v>9</v>
      </c>
      <c r="E38" s="28">
        <v>2360</v>
      </c>
      <c r="F38" s="28" t="s">
        <v>32</v>
      </c>
      <c r="G38" s="28" t="s">
        <v>11</v>
      </c>
      <c r="H38" s="28">
        <v>248</v>
      </c>
      <c r="I38" s="29">
        <v>62</v>
      </c>
      <c r="J38" s="28"/>
      <c r="K38" s="28">
        <v>23572</v>
      </c>
      <c r="L38" s="28">
        <v>0</v>
      </c>
      <c r="M38" s="28"/>
      <c r="N38" s="44">
        <v>13750.333333333334</v>
      </c>
      <c r="O38" s="28"/>
      <c r="P38" s="28"/>
      <c r="Q38" s="28">
        <v>0</v>
      </c>
      <c r="T38" s="35">
        <v>23571.78</v>
      </c>
      <c r="U38" s="35">
        <v>-0.22000000000116415</v>
      </c>
      <c r="W38" s="36">
        <v>13750</v>
      </c>
      <c r="X38" s="36">
        <v>0.33333333333393966</v>
      </c>
    </row>
    <row r="39" spans="1:24" x14ac:dyDescent="0.25">
      <c r="A39" s="28">
        <v>122702</v>
      </c>
      <c r="B39" s="28">
        <v>8922894</v>
      </c>
      <c r="C39" s="28">
        <v>892</v>
      </c>
      <c r="D39" s="28" t="s">
        <v>9</v>
      </c>
      <c r="E39" s="28">
        <v>2894</v>
      </c>
      <c r="F39" s="28" t="s">
        <v>33</v>
      </c>
      <c r="G39" s="28" t="s">
        <v>11</v>
      </c>
      <c r="H39" s="28">
        <v>375</v>
      </c>
      <c r="I39" s="29">
        <v>111</v>
      </c>
      <c r="J39" s="28"/>
      <c r="K39" s="28">
        <v>42202</v>
      </c>
      <c r="L39" s="28">
        <v>0</v>
      </c>
      <c r="M39" s="28"/>
      <c r="N39" s="44">
        <v>24617.833333333332</v>
      </c>
      <c r="O39" s="28"/>
      <c r="P39" s="28"/>
      <c r="Q39" s="28">
        <v>0</v>
      </c>
      <c r="T39" s="35">
        <v>42201.09</v>
      </c>
      <c r="U39" s="35">
        <v>-0.91000000000349246</v>
      </c>
      <c r="W39" s="36">
        <v>24617</v>
      </c>
      <c r="X39" s="36">
        <v>0.83333333333212067</v>
      </c>
    </row>
    <row r="40" spans="1:24" x14ac:dyDescent="0.25">
      <c r="A40" s="28">
        <v>122703</v>
      </c>
      <c r="B40" s="28">
        <v>8922897</v>
      </c>
      <c r="C40" s="28">
        <v>892</v>
      </c>
      <c r="D40" s="28" t="s">
        <v>9</v>
      </c>
      <c r="E40" s="28">
        <v>2897</v>
      </c>
      <c r="F40" s="28" t="s">
        <v>34</v>
      </c>
      <c r="G40" s="28" t="s">
        <v>11</v>
      </c>
      <c r="H40" s="28">
        <v>203</v>
      </c>
      <c r="I40" s="29">
        <v>32</v>
      </c>
      <c r="J40" s="28"/>
      <c r="K40" s="28">
        <v>12167</v>
      </c>
      <c r="L40" s="28">
        <v>0</v>
      </c>
      <c r="M40" s="28"/>
      <c r="N40" s="44">
        <v>7097.416666666667</v>
      </c>
      <c r="O40" s="28"/>
      <c r="P40" s="28"/>
      <c r="Q40" s="28">
        <v>0</v>
      </c>
      <c r="T40" s="35">
        <v>12166.079999999998</v>
      </c>
      <c r="U40" s="35">
        <v>-0.92000000000189175</v>
      </c>
      <c r="W40" s="36">
        <v>7097</v>
      </c>
      <c r="X40" s="36">
        <v>0.41666666666696983</v>
      </c>
    </row>
    <row r="41" spans="1:24" x14ac:dyDescent="0.25">
      <c r="A41" s="28">
        <v>122721</v>
      </c>
      <c r="B41" s="28">
        <v>8922917</v>
      </c>
      <c r="C41" s="28">
        <v>892</v>
      </c>
      <c r="D41" s="28" t="s">
        <v>9</v>
      </c>
      <c r="E41" s="28">
        <v>2917</v>
      </c>
      <c r="F41" s="28" t="s">
        <v>35</v>
      </c>
      <c r="G41" s="28" t="s">
        <v>11</v>
      </c>
      <c r="H41" s="28">
        <v>201</v>
      </c>
      <c r="I41" s="29">
        <v>30</v>
      </c>
      <c r="J41" s="28"/>
      <c r="K41" s="28">
        <v>11406</v>
      </c>
      <c r="L41" s="28">
        <v>0</v>
      </c>
      <c r="M41" s="28"/>
      <c r="N41" s="44">
        <v>6653.5</v>
      </c>
      <c r="O41" s="28"/>
      <c r="P41" s="28"/>
      <c r="Q41" s="28">
        <v>0</v>
      </c>
      <c r="T41" s="35">
        <v>11405.7</v>
      </c>
      <c r="U41" s="35">
        <v>-0.2999999999992724</v>
      </c>
      <c r="W41" s="36">
        <v>6653</v>
      </c>
      <c r="X41" s="36">
        <v>0.5</v>
      </c>
    </row>
    <row r="42" spans="1:24" x14ac:dyDescent="0.25">
      <c r="A42" s="28">
        <v>122733</v>
      </c>
      <c r="B42" s="28">
        <v>8922929</v>
      </c>
      <c r="C42" s="28">
        <v>892</v>
      </c>
      <c r="D42" s="28" t="s">
        <v>9</v>
      </c>
      <c r="E42" s="28">
        <v>2929</v>
      </c>
      <c r="F42" s="28" t="s">
        <v>36</v>
      </c>
      <c r="G42" s="28" t="s">
        <v>11</v>
      </c>
      <c r="H42" s="28">
        <v>523</v>
      </c>
      <c r="I42" s="29">
        <v>173</v>
      </c>
      <c r="J42" s="28"/>
      <c r="K42" s="28">
        <v>65773</v>
      </c>
      <c r="L42" s="28">
        <v>0</v>
      </c>
      <c r="M42" s="28"/>
      <c r="N42" s="44">
        <v>38367.583333333336</v>
      </c>
      <c r="O42" s="28"/>
      <c r="P42" s="28"/>
      <c r="Q42" s="28">
        <v>0</v>
      </c>
      <c r="T42" s="35">
        <v>65772.87</v>
      </c>
      <c r="U42" s="35">
        <v>-0.13000000000465661</v>
      </c>
      <c r="W42" s="36">
        <v>38368</v>
      </c>
      <c r="X42" s="36">
        <v>-0.41666666666424135</v>
      </c>
    </row>
    <row r="43" spans="1:24" x14ac:dyDescent="0.25">
      <c r="A43" s="28">
        <v>122739</v>
      </c>
      <c r="B43" s="28">
        <v>8922935</v>
      </c>
      <c r="C43" s="28">
        <v>892</v>
      </c>
      <c r="D43" s="28" t="s">
        <v>9</v>
      </c>
      <c r="E43" s="28">
        <v>2935</v>
      </c>
      <c r="F43" s="28" t="s">
        <v>37</v>
      </c>
      <c r="G43" s="28" t="s">
        <v>11</v>
      </c>
      <c r="H43" s="28">
        <v>338</v>
      </c>
      <c r="I43" s="29">
        <v>95</v>
      </c>
      <c r="J43" s="28"/>
      <c r="K43" s="28">
        <v>36119</v>
      </c>
      <c r="L43" s="28">
        <v>0</v>
      </c>
      <c r="M43" s="28"/>
      <c r="N43" s="44">
        <v>21069.416666666668</v>
      </c>
      <c r="O43" s="28"/>
      <c r="P43" s="28"/>
      <c r="Q43" s="28">
        <v>0</v>
      </c>
      <c r="T43" s="35">
        <v>36118.049999999996</v>
      </c>
      <c r="U43" s="35">
        <v>-0.95000000000436557</v>
      </c>
      <c r="W43" s="36">
        <v>21069</v>
      </c>
      <c r="X43" s="36">
        <v>0.41666666666787933</v>
      </c>
    </row>
    <row r="44" spans="1:24" x14ac:dyDescent="0.25">
      <c r="A44" s="28">
        <v>134425</v>
      </c>
      <c r="B44" s="28">
        <v>8923322</v>
      </c>
      <c r="C44" s="28">
        <v>892</v>
      </c>
      <c r="D44" s="28" t="s">
        <v>9</v>
      </c>
      <c r="E44" s="28">
        <v>3322</v>
      </c>
      <c r="F44" s="28" t="s">
        <v>88</v>
      </c>
      <c r="G44" s="28" t="s">
        <v>11</v>
      </c>
      <c r="H44" s="28">
        <v>589</v>
      </c>
      <c r="I44" s="29">
        <v>95</v>
      </c>
      <c r="J44" s="28"/>
      <c r="K44" s="28">
        <v>36119</v>
      </c>
      <c r="L44" s="28">
        <v>0</v>
      </c>
      <c r="M44" s="28"/>
      <c r="N44" s="44">
        <v>21069.416666666668</v>
      </c>
      <c r="O44" s="28"/>
      <c r="P44" s="28"/>
      <c r="Q44" s="28">
        <v>0</v>
      </c>
      <c r="T44" s="35">
        <v>36118.049999999996</v>
      </c>
      <c r="U44" s="35">
        <v>-0.95000000000436557</v>
      </c>
      <c r="W44" s="36">
        <v>21069</v>
      </c>
      <c r="X44" s="36">
        <v>0.41666666666787933</v>
      </c>
    </row>
    <row r="45" spans="1:24" x14ac:dyDescent="0.25">
      <c r="A45" s="28">
        <v>134841</v>
      </c>
      <c r="B45" s="28">
        <v>8923323</v>
      </c>
      <c r="C45" s="28">
        <v>892</v>
      </c>
      <c r="D45" s="28" t="s">
        <v>9</v>
      </c>
      <c r="E45" s="28">
        <v>3323</v>
      </c>
      <c r="F45" s="28" t="s">
        <v>47</v>
      </c>
      <c r="G45" s="28" t="s">
        <v>11</v>
      </c>
      <c r="H45" s="28">
        <v>459</v>
      </c>
      <c r="I45" s="29">
        <v>118</v>
      </c>
      <c r="J45" s="28"/>
      <c r="K45" s="28">
        <v>44863</v>
      </c>
      <c r="L45" s="28">
        <v>0</v>
      </c>
      <c r="M45" s="28"/>
      <c r="N45" s="44">
        <v>26170.083333333332</v>
      </c>
      <c r="O45" s="28"/>
      <c r="P45" s="28"/>
      <c r="Q45" s="28">
        <v>0</v>
      </c>
      <c r="T45" s="35">
        <v>44862.419999999991</v>
      </c>
      <c r="U45" s="35">
        <v>-0.58000000000902219</v>
      </c>
      <c r="W45" s="36">
        <v>26170</v>
      </c>
      <c r="X45" s="36">
        <v>8.3333333332120674E-2</v>
      </c>
    </row>
    <row r="46" spans="1:24" x14ac:dyDescent="0.25">
      <c r="A46" s="28">
        <v>134842</v>
      </c>
      <c r="B46" s="28">
        <v>8923324</v>
      </c>
      <c r="C46" s="28">
        <v>892</v>
      </c>
      <c r="D46" s="28" t="s">
        <v>9</v>
      </c>
      <c r="E46" s="28">
        <v>3324</v>
      </c>
      <c r="F46" s="28" t="s">
        <v>48</v>
      </c>
      <c r="G46" s="28" t="s">
        <v>11</v>
      </c>
      <c r="H46" s="28">
        <v>243</v>
      </c>
      <c r="I46" s="29">
        <v>59</v>
      </c>
      <c r="J46" s="28"/>
      <c r="K46" s="28">
        <v>22432</v>
      </c>
      <c r="L46" s="28">
        <v>0</v>
      </c>
      <c r="M46" s="28"/>
      <c r="N46" s="44">
        <v>13085.333333333334</v>
      </c>
      <c r="O46" s="28"/>
      <c r="P46" s="28"/>
      <c r="Q46" s="28">
        <v>0</v>
      </c>
      <c r="T46" s="35">
        <v>22431.209999999995</v>
      </c>
      <c r="U46" s="35">
        <v>-0.79000000000451109</v>
      </c>
      <c r="W46" s="36">
        <v>13085</v>
      </c>
      <c r="X46" s="36">
        <v>0.33333333333393966</v>
      </c>
    </row>
    <row r="47" spans="1:24" x14ac:dyDescent="0.25">
      <c r="A47" s="28">
        <v>134843</v>
      </c>
      <c r="B47" s="28">
        <v>8923325</v>
      </c>
      <c r="C47" s="28">
        <v>892</v>
      </c>
      <c r="D47" s="28" t="s">
        <v>9</v>
      </c>
      <c r="E47" s="28">
        <v>3325</v>
      </c>
      <c r="F47" s="28" t="s">
        <v>89</v>
      </c>
      <c r="G47" s="28" t="s">
        <v>11</v>
      </c>
      <c r="H47" s="28">
        <v>234</v>
      </c>
      <c r="I47" s="29">
        <v>60</v>
      </c>
      <c r="J47" s="28"/>
      <c r="K47" s="28">
        <v>22812</v>
      </c>
      <c r="L47" s="28">
        <v>0</v>
      </c>
      <c r="M47" s="28"/>
      <c r="N47" s="44">
        <v>13307</v>
      </c>
      <c r="O47" s="28"/>
      <c r="P47" s="28"/>
      <c r="Q47" s="28">
        <v>0</v>
      </c>
      <c r="T47" s="35">
        <v>22811.4</v>
      </c>
      <c r="U47" s="35">
        <v>-0.59999999999854481</v>
      </c>
      <c r="W47" s="36">
        <v>13307</v>
      </c>
      <c r="X47" s="36">
        <v>0</v>
      </c>
    </row>
    <row r="48" spans="1:24" x14ac:dyDescent="0.25">
      <c r="A48" s="28">
        <v>131005</v>
      </c>
      <c r="B48" s="28">
        <v>8923326</v>
      </c>
      <c r="C48" s="28">
        <v>892</v>
      </c>
      <c r="D48" s="28" t="s">
        <v>9</v>
      </c>
      <c r="E48" s="28">
        <v>3326</v>
      </c>
      <c r="F48" s="28" t="s">
        <v>43</v>
      </c>
      <c r="G48" s="28" t="s">
        <v>11</v>
      </c>
      <c r="H48" s="28">
        <v>445</v>
      </c>
      <c r="I48" s="29">
        <v>98</v>
      </c>
      <c r="J48" s="28"/>
      <c r="K48" s="28">
        <v>37259</v>
      </c>
      <c r="L48" s="28">
        <v>0</v>
      </c>
      <c r="M48" s="28"/>
      <c r="N48" s="44">
        <v>21734.416666666668</v>
      </c>
      <c r="O48" s="28"/>
      <c r="P48" s="28"/>
      <c r="Q48" s="28">
        <v>0</v>
      </c>
      <c r="T48" s="35">
        <v>37258.619999999995</v>
      </c>
      <c r="U48" s="35">
        <v>-0.38000000000465661</v>
      </c>
      <c r="W48" s="36">
        <v>21734</v>
      </c>
      <c r="X48" s="36">
        <v>0.41666666666787933</v>
      </c>
    </row>
    <row r="49" spans="1:24" x14ac:dyDescent="0.25">
      <c r="A49" s="28">
        <v>131006</v>
      </c>
      <c r="B49" s="28">
        <v>8923327</v>
      </c>
      <c r="C49" s="28">
        <v>892</v>
      </c>
      <c r="D49" s="28" t="s">
        <v>9</v>
      </c>
      <c r="E49" s="28">
        <v>3327</v>
      </c>
      <c r="F49" s="28" t="s">
        <v>44</v>
      </c>
      <c r="G49" s="28" t="s">
        <v>11</v>
      </c>
      <c r="H49" s="28">
        <v>229</v>
      </c>
      <c r="I49" s="29">
        <v>59</v>
      </c>
      <c r="J49" s="28"/>
      <c r="K49" s="28">
        <v>22432</v>
      </c>
      <c r="L49" s="28">
        <v>0</v>
      </c>
      <c r="M49" s="28"/>
      <c r="N49" s="44">
        <v>13085.333333333334</v>
      </c>
      <c r="O49" s="28"/>
      <c r="P49" s="28"/>
      <c r="Q49" s="28">
        <v>0</v>
      </c>
      <c r="T49" s="35">
        <v>22431.209999999995</v>
      </c>
      <c r="U49" s="35">
        <v>-0.79000000000451109</v>
      </c>
      <c r="W49" s="36">
        <v>13085</v>
      </c>
      <c r="X49" s="36">
        <v>0.33333333333393966</v>
      </c>
    </row>
    <row r="50" spans="1:24" x14ac:dyDescent="0.25">
      <c r="A50" s="28">
        <v>131017</v>
      </c>
      <c r="B50" s="28">
        <v>8923328</v>
      </c>
      <c r="C50" s="28">
        <v>892</v>
      </c>
      <c r="D50" s="28" t="s">
        <v>9</v>
      </c>
      <c r="E50" s="28">
        <v>3328</v>
      </c>
      <c r="F50" s="28" t="s">
        <v>46</v>
      </c>
      <c r="G50" s="28" t="s">
        <v>11</v>
      </c>
      <c r="H50" s="28">
        <v>234</v>
      </c>
      <c r="I50" s="29">
        <v>48</v>
      </c>
      <c r="J50" s="28"/>
      <c r="K50" s="28">
        <v>18250</v>
      </c>
      <c r="L50" s="28">
        <v>0</v>
      </c>
      <c r="M50" s="28"/>
      <c r="N50" s="44">
        <v>10645.833333333334</v>
      </c>
      <c r="O50" s="28"/>
      <c r="P50" s="28"/>
      <c r="Q50" s="28">
        <v>0</v>
      </c>
      <c r="T50" s="35">
        <v>18249.12</v>
      </c>
      <c r="U50" s="35">
        <v>-0.88000000000101863</v>
      </c>
      <c r="W50" s="36">
        <v>10645</v>
      </c>
      <c r="X50" s="36">
        <v>0.83333333333393966</v>
      </c>
    </row>
    <row r="51" spans="1:24" x14ac:dyDescent="0.25">
      <c r="A51" s="28">
        <v>131007</v>
      </c>
      <c r="B51" s="28">
        <v>8923329</v>
      </c>
      <c r="C51" s="28">
        <v>892</v>
      </c>
      <c r="D51" s="28" t="s">
        <v>9</v>
      </c>
      <c r="E51" s="28">
        <v>3329</v>
      </c>
      <c r="F51" s="28" t="s">
        <v>45</v>
      </c>
      <c r="G51" s="28" t="s">
        <v>11</v>
      </c>
      <c r="H51" s="28">
        <v>479</v>
      </c>
      <c r="I51" s="29">
        <v>108</v>
      </c>
      <c r="J51" s="28"/>
      <c r="K51" s="28">
        <v>41061</v>
      </c>
      <c r="L51" s="28">
        <v>0</v>
      </c>
      <c r="M51" s="28"/>
      <c r="N51" s="44">
        <v>23952.25</v>
      </c>
      <c r="O51" s="28"/>
      <c r="P51" s="28"/>
      <c r="Q51" s="28">
        <v>0</v>
      </c>
      <c r="T51" s="35">
        <v>41060.519999999997</v>
      </c>
      <c r="U51" s="35">
        <v>-0.48000000000320142</v>
      </c>
      <c r="W51" s="36">
        <v>23952</v>
      </c>
      <c r="X51" s="36">
        <v>0.25</v>
      </c>
    </row>
    <row r="52" spans="1:24" x14ac:dyDescent="0.25">
      <c r="A52" s="28">
        <v>136232</v>
      </c>
      <c r="B52" s="28">
        <v>8923332</v>
      </c>
      <c r="C52" s="28">
        <v>892</v>
      </c>
      <c r="D52" s="28" t="s">
        <v>9</v>
      </c>
      <c r="E52" s="28">
        <v>3332</v>
      </c>
      <c r="F52" s="28" t="s">
        <v>50</v>
      </c>
      <c r="G52" s="28" t="s">
        <v>11</v>
      </c>
      <c r="H52" s="28">
        <v>327</v>
      </c>
      <c r="I52" s="29">
        <v>79</v>
      </c>
      <c r="J52" s="28"/>
      <c r="K52" s="28">
        <v>30036</v>
      </c>
      <c r="L52" s="28">
        <v>0</v>
      </c>
      <c r="M52" s="28"/>
      <c r="N52" s="44">
        <v>17521</v>
      </c>
      <c r="O52" s="28"/>
      <c r="P52" s="28"/>
      <c r="Q52" s="28">
        <v>0</v>
      </c>
      <c r="T52" s="35">
        <v>30035.01</v>
      </c>
      <c r="U52" s="35">
        <v>-0.99000000000160071</v>
      </c>
      <c r="W52" s="36">
        <v>17520</v>
      </c>
      <c r="X52" s="36">
        <v>1</v>
      </c>
    </row>
    <row r="53" spans="1:24" x14ac:dyDescent="0.25">
      <c r="A53" s="28">
        <v>122964</v>
      </c>
      <c r="B53" s="28">
        <v>8927035</v>
      </c>
      <c r="C53" s="28">
        <v>892</v>
      </c>
      <c r="D53" s="28" t="s">
        <v>9</v>
      </c>
      <c r="E53" s="28">
        <v>7035</v>
      </c>
      <c r="F53" s="28" t="s">
        <v>41</v>
      </c>
      <c r="G53" s="28" t="s">
        <v>42</v>
      </c>
      <c r="H53" s="28">
        <v>93</v>
      </c>
      <c r="I53" s="29">
        <v>6</v>
      </c>
      <c r="J53" s="28"/>
      <c r="K53" s="28">
        <v>2282</v>
      </c>
      <c r="L53" s="28">
        <v>3000</v>
      </c>
      <c r="M53" s="28"/>
      <c r="N53" s="44">
        <v>4331.166666666667</v>
      </c>
      <c r="O53" s="28"/>
      <c r="P53" s="28"/>
      <c r="Q53" s="28">
        <v>0</v>
      </c>
      <c r="T53" s="35">
        <v>2281.14</v>
      </c>
      <c r="U53" s="35">
        <v>-0.86000000000012733</v>
      </c>
      <c r="W53" s="36">
        <v>4330.665</v>
      </c>
      <c r="X53" s="36">
        <v>0.50166666666700621</v>
      </c>
    </row>
    <row r="54" spans="1:24" x14ac:dyDescent="0.25">
      <c r="A54" s="28">
        <v>135573</v>
      </c>
      <c r="B54" s="28">
        <v>8927042</v>
      </c>
      <c r="C54" s="28">
        <v>892</v>
      </c>
      <c r="D54" s="28" t="s">
        <v>9</v>
      </c>
      <c r="E54" s="28">
        <v>7042</v>
      </c>
      <c r="F54" s="28" t="s">
        <v>49</v>
      </c>
      <c r="G54" s="28" t="s">
        <v>42</v>
      </c>
      <c r="H54" s="28">
        <v>156</v>
      </c>
      <c r="I54" s="29">
        <v>12</v>
      </c>
      <c r="J54" s="28"/>
      <c r="K54" s="28">
        <v>4563</v>
      </c>
      <c r="L54" s="28">
        <v>0</v>
      </c>
      <c r="M54" s="28"/>
      <c r="N54" s="44">
        <v>2661.75</v>
      </c>
      <c r="O54" s="28"/>
      <c r="P54" s="28"/>
      <c r="Q54" s="28">
        <v>0</v>
      </c>
      <c r="T54" s="35">
        <v>4562.28</v>
      </c>
      <c r="U54" s="35">
        <v>-0.72000000000025466</v>
      </c>
      <c r="W54" s="36">
        <v>2661</v>
      </c>
      <c r="X54" s="36">
        <v>0.75</v>
      </c>
    </row>
    <row r="55" spans="1:24" x14ac:dyDescent="0.25">
      <c r="A55" s="28">
        <v>122777</v>
      </c>
      <c r="B55" s="28">
        <v>8923312</v>
      </c>
      <c r="C55" s="28">
        <v>892</v>
      </c>
      <c r="D55" s="28" t="s">
        <v>9</v>
      </c>
      <c r="E55" s="28">
        <v>3312</v>
      </c>
      <c r="F55" s="28" t="s">
        <v>40</v>
      </c>
      <c r="G55" s="28" t="s">
        <v>39</v>
      </c>
      <c r="H55" s="28">
        <v>293</v>
      </c>
      <c r="I55" s="29">
        <v>124</v>
      </c>
      <c r="J55" s="28"/>
      <c r="K55" s="28">
        <v>47144</v>
      </c>
      <c r="L55" s="28">
        <v>0</v>
      </c>
      <c r="M55" s="28"/>
      <c r="N55" s="44">
        <v>27500.666666666668</v>
      </c>
      <c r="O55" s="28"/>
      <c r="P55" s="28"/>
      <c r="Q55" s="28">
        <v>0</v>
      </c>
      <c r="T55" s="35">
        <v>47143.56</v>
      </c>
      <c r="U55" s="35">
        <v>-0.44000000000232831</v>
      </c>
      <c r="W55" s="36">
        <v>27500</v>
      </c>
      <c r="X55" s="36">
        <v>0.66666666666787933</v>
      </c>
    </row>
    <row r="56" spans="1:24" x14ac:dyDescent="0.25">
      <c r="A56" s="28">
        <v>122740</v>
      </c>
      <c r="B56" s="28">
        <v>8923000</v>
      </c>
      <c r="C56" s="28">
        <v>892</v>
      </c>
      <c r="D56" s="28" t="s">
        <v>9</v>
      </c>
      <c r="E56" s="28">
        <v>3000</v>
      </c>
      <c r="F56" s="28" t="s">
        <v>38</v>
      </c>
      <c r="G56" s="28" t="s">
        <v>90</v>
      </c>
      <c r="H56" s="28">
        <v>335</v>
      </c>
      <c r="I56" s="29">
        <v>87</v>
      </c>
      <c r="J56" s="28"/>
      <c r="K56" s="28">
        <v>33077</v>
      </c>
      <c r="L56" s="28">
        <v>0</v>
      </c>
      <c r="M56" s="28"/>
      <c r="N56" s="44">
        <v>19294.916666666668</v>
      </c>
      <c r="O56" s="28"/>
      <c r="P56" s="28"/>
      <c r="Q56" s="28">
        <v>0</v>
      </c>
      <c r="T56" s="35">
        <v>33076.53</v>
      </c>
      <c r="U56" s="35">
        <v>-0.47000000000116415</v>
      </c>
      <c r="W56" s="36">
        <v>19295</v>
      </c>
      <c r="X56" s="36">
        <v>-8.3333333332120674E-2</v>
      </c>
    </row>
    <row r="57" spans="1:24" x14ac:dyDescent="0.25">
      <c r="H57">
        <v>15730</v>
      </c>
      <c r="I57">
        <v>4322.5</v>
      </c>
      <c r="K57">
        <v>1643399</v>
      </c>
      <c r="L57">
        <v>3000</v>
      </c>
      <c r="N57" s="46">
        <v>961649.41666666663</v>
      </c>
      <c r="Q57">
        <v>0</v>
      </c>
      <c r="T57">
        <v>1643371.2750000004</v>
      </c>
      <c r="U57" s="35">
        <v>-27.725000000113596</v>
      </c>
      <c r="W57">
        <v>961633.66500000004</v>
      </c>
      <c r="X57" s="35">
        <v>15.751666666684287</v>
      </c>
    </row>
    <row r="59" spans="1:24" x14ac:dyDescent="0.25">
      <c r="T59" s="35">
        <v>-27.724999999627471</v>
      </c>
    </row>
    <row r="61" spans="1:24" x14ac:dyDescent="0.25">
      <c r="S61" s="37" t="s">
        <v>91</v>
      </c>
      <c r="T61" s="35">
        <v>1643371.2750000004</v>
      </c>
      <c r="W61" s="35">
        <v>961633.66500000004</v>
      </c>
    </row>
    <row r="62" spans="1:24" ht="15.75" thickBot="1" x14ac:dyDescent="0.3">
      <c r="S62" s="38" t="s">
        <v>3</v>
      </c>
      <c r="T62" s="39">
        <v>1643371.2750000004</v>
      </c>
      <c r="W62" s="39">
        <v>961633.66500000004</v>
      </c>
    </row>
    <row r="63" spans="1:24" ht="15.75" thickTop="1" x14ac:dyDescent="0.25"/>
    <row r="67" spans="20:20" x14ac:dyDescent="0.25">
      <c r="T67" s="35"/>
    </row>
  </sheetData>
  <sheetProtection password="C16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9"/>
  <sheetViews>
    <sheetView workbookViewId="0"/>
  </sheetViews>
  <sheetFormatPr defaultRowHeight="15" x14ac:dyDescent="0.25"/>
  <cols>
    <col min="1" max="1" width="4.85546875" customWidth="1"/>
    <col min="2" max="2" width="18.28515625" customWidth="1"/>
    <col min="3" max="3" width="17.85546875" bestFit="1" customWidth="1"/>
    <col min="4" max="4" width="12.7109375" customWidth="1"/>
    <col min="5" max="5" width="24.7109375" customWidth="1"/>
    <col min="6" max="6" width="4.85546875" bestFit="1" customWidth="1"/>
    <col min="7" max="7" width="15.140625" customWidth="1"/>
    <col min="8" max="8" width="17.85546875" customWidth="1"/>
    <col min="9" max="9" width="28" customWidth="1"/>
    <col min="10" max="10" width="11.28515625" bestFit="1" customWidth="1"/>
    <col min="11" max="11" width="2.5703125" customWidth="1"/>
    <col min="12" max="12" width="19.7109375" bestFit="1" customWidth="1"/>
    <col min="13" max="13" width="2.5703125" customWidth="1"/>
    <col min="14" max="14" width="2.28515625" customWidth="1"/>
    <col min="16" max="16" width="2.28515625" customWidth="1"/>
    <col min="18" max="18" width="2.28515625" customWidth="1"/>
    <col min="20" max="20" width="2.28515625" customWidth="1"/>
    <col min="22" max="22" width="2.28515625" customWidth="1"/>
    <col min="24" max="24" width="2.28515625" customWidth="1"/>
    <col min="26" max="26" width="2.28515625" customWidth="1"/>
    <col min="28" max="28" width="2.28515625" customWidth="1"/>
    <col min="30" max="30" width="2.28515625" customWidth="1"/>
    <col min="32" max="32" width="2.28515625" customWidth="1"/>
    <col min="34" max="34" width="2.28515625" customWidth="1"/>
    <col min="36" max="36" width="2.28515625" customWidth="1"/>
    <col min="38" max="38" width="2.28515625" customWidth="1"/>
    <col min="40" max="40" width="2.28515625" customWidth="1"/>
    <col min="41" max="41" width="10" bestFit="1" customWidth="1"/>
    <col min="42" max="42" width="2.28515625" customWidth="1"/>
    <col min="43" max="43" width="10" bestFit="1" customWidth="1"/>
  </cols>
  <sheetData>
    <row r="1" spans="1:9" x14ac:dyDescent="0.25">
      <c r="B1" s="144" t="s">
        <v>197</v>
      </c>
    </row>
    <row r="2" spans="1:9" x14ac:dyDescent="0.25">
      <c r="B2" s="145"/>
    </row>
    <row r="3" spans="1:9" x14ac:dyDescent="0.25">
      <c r="B3" s="145" t="s">
        <v>1</v>
      </c>
    </row>
    <row r="4" spans="1:9" x14ac:dyDescent="0.25">
      <c r="B4" s="145" t="s">
        <v>2</v>
      </c>
    </row>
    <row r="5" spans="1:9" x14ac:dyDescent="0.25">
      <c r="B5" s="145" t="s">
        <v>4</v>
      </c>
    </row>
    <row r="6" spans="1:9" x14ac:dyDescent="0.25">
      <c r="B6" s="145" t="s">
        <v>198</v>
      </c>
    </row>
    <row r="7" spans="1:9" x14ac:dyDescent="0.25">
      <c r="B7" s="145" t="s">
        <v>199</v>
      </c>
    </row>
    <row r="8" spans="1:9" x14ac:dyDescent="0.25">
      <c r="B8" s="145" t="s">
        <v>5</v>
      </c>
    </row>
    <row r="9" spans="1:9" x14ac:dyDescent="0.25">
      <c r="B9" s="145" t="s">
        <v>200</v>
      </c>
    </row>
    <row r="10" spans="1:9" x14ac:dyDescent="0.25">
      <c r="B10" s="145" t="s">
        <v>201</v>
      </c>
    </row>
    <row r="11" spans="1:9" x14ac:dyDescent="0.25">
      <c r="B11" s="146" t="s">
        <v>202</v>
      </c>
    </row>
    <row r="13" spans="1:9" ht="15.75" x14ac:dyDescent="0.25">
      <c r="B13" s="5"/>
    </row>
    <row r="14" spans="1:9" ht="15.75" x14ac:dyDescent="0.25">
      <c r="B14" s="6"/>
    </row>
    <row r="16" spans="1:9" x14ac:dyDescent="0.25">
      <c r="A16" s="42"/>
      <c r="B16" s="41"/>
      <c r="C16" s="42"/>
      <c r="D16" s="42"/>
      <c r="E16" s="43"/>
      <c r="F16" s="42"/>
      <c r="G16" s="41" t="s">
        <v>191</v>
      </c>
      <c r="H16" s="48"/>
      <c r="I16" s="47" t="s">
        <v>68</v>
      </c>
    </row>
    <row r="17" spans="1:43" s="40" customFormat="1" x14ac:dyDescent="0.25">
      <c r="B17" s="285" t="s">
        <v>6</v>
      </c>
      <c r="C17" s="286"/>
      <c r="D17" s="286"/>
      <c r="E17" s="286"/>
      <c r="F17" s="286"/>
      <c r="G17" s="286"/>
      <c r="H17" s="286"/>
      <c r="I17" s="287"/>
      <c r="J17" s="286"/>
      <c r="K17" s="286"/>
      <c r="L17" s="286"/>
      <c r="M17" s="286"/>
      <c r="N17" s="285" t="s">
        <v>8</v>
      </c>
      <c r="O17" s="286"/>
      <c r="P17" s="286"/>
      <c r="Q17" s="286"/>
      <c r="R17" s="286"/>
      <c r="S17" s="286"/>
      <c r="T17" s="286"/>
      <c r="U17" s="286"/>
      <c r="V17" s="286"/>
      <c r="W17" s="286"/>
      <c r="X17" s="286"/>
      <c r="Y17" s="286"/>
      <c r="Z17" s="286"/>
      <c r="AA17" s="286"/>
      <c r="AB17" s="286"/>
      <c r="AC17" s="286"/>
      <c r="AD17" s="286"/>
      <c r="AE17" s="286"/>
      <c r="AF17" s="286"/>
      <c r="AG17" s="286"/>
      <c r="AH17" s="286"/>
      <c r="AI17" s="286"/>
      <c r="AJ17" s="286"/>
      <c r="AK17" s="286"/>
      <c r="AL17" s="286"/>
      <c r="AM17" s="286"/>
      <c r="AN17" s="286"/>
      <c r="AO17" s="286"/>
      <c r="AP17" s="286"/>
      <c r="AQ17" s="287"/>
    </row>
    <row r="18" spans="1:43" ht="123.75" x14ac:dyDescent="0.25">
      <c r="A18" s="87"/>
      <c r="B18" s="86"/>
      <c r="C18" s="87"/>
      <c r="D18" s="87"/>
      <c r="E18" s="87"/>
      <c r="F18" s="87"/>
      <c r="G18" s="87"/>
      <c r="H18" s="87"/>
      <c r="I18" s="88"/>
      <c r="J18" s="90" t="s">
        <v>135</v>
      </c>
      <c r="K18" s="91"/>
      <c r="L18" s="90" t="s">
        <v>136</v>
      </c>
      <c r="M18" s="89"/>
      <c r="N18" s="92"/>
      <c r="O18" s="90" t="s">
        <v>137</v>
      </c>
      <c r="P18" s="89"/>
      <c r="Q18" s="90" t="s">
        <v>138</v>
      </c>
      <c r="R18" s="11"/>
      <c r="S18" s="93" t="s">
        <v>139</v>
      </c>
      <c r="T18" s="89"/>
      <c r="U18" s="90" t="s">
        <v>140</v>
      </c>
      <c r="V18" s="89"/>
      <c r="W18" s="90" t="s">
        <v>141</v>
      </c>
      <c r="X18" s="11"/>
      <c r="Y18" s="93" t="s">
        <v>142</v>
      </c>
      <c r="Z18" s="11"/>
      <c r="AA18" s="90" t="s">
        <v>143</v>
      </c>
      <c r="AB18" s="89"/>
      <c r="AC18" s="90" t="s">
        <v>144</v>
      </c>
      <c r="AD18" s="11"/>
      <c r="AE18" s="93" t="s">
        <v>145</v>
      </c>
      <c r="AF18" s="89"/>
      <c r="AG18" s="90" t="s">
        <v>146</v>
      </c>
      <c r="AH18" s="89"/>
      <c r="AI18" s="90" t="s">
        <v>147</v>
      </c>
      <c r="AJ18" s="11"/>
      <c r="AK18" s="93" t="s">
        <v>148</v>
      </c>
      <c r="AL18" s="11"/>
      <c r="AM18" s="90" t="s">
        <v>192</v>
      </c>
      <c r="AN18" s="11"/>
      <c r="AO18" s="90" t="s">
        <v>193</v>
      </c>
      <c r="AP18" s="94"/>
      <c r="AQ18" s="95" t="s">
        <v>149</v>
      </c>
    </row>
    <row r="19" spans="1:43" x14ac:dyDescent="0.25">
      <c r="A19" s="97"/>
      <c r="B19" s="96" t="s">
        <v>69</v>
      </c>
      <c r="C19" s="97" t="s">
        <v>70</v>
      </c>
      <c r="D19" s="97" t="s">
        <v>71</v>
      </c>
      <c r="E19" s="98" t="s">
        <v>72</v>
      </c>
      <c r="F19" s="97" t="s">
        <v>73</v>
      </c>
      <c r="G19" s="98" t="s">
        <v>74</v>
      </c>
      <c r="H19" s="98" t="s">
        <v>150</v>
      </c>
      <c r="I19" s="99" t="s">
        <v>75</v>
      </c>
      <c r="J19" s="101"/>
      <c r="K19" s="102"/>
      <c r="L19" s="101"/>
      <c r="M19" s="100"/>
      <c r="N19" s="103"/>
      <c r="O19" s="104"/>
      <c r="P19" s="100"/>
      <c r="Q19" s="104"/>
      <c r="R19" s="13"/>
      <c r="S19" s="105"/>
      <c r="T19" s="100"/>
      <c r="U19" s="104"/>
      <c r="V19" s="100"/>
      <c r="W19" s="104"/>
      <c r="X19" s="13"/>
      <c r="Y19" s="105"/>
      <c r="Z19" s="13"/>
      <c r="AA19" s="104"/>
      <c r="AB19" s="100"/>
      <c r="AC19" s="104"/>
      <c r="AD19" s="13"/>
      <c r="AE19" s="105"/>
      <c r="AF19" s="100"/>
      <c r="AG19" s="104"/>
      <c r="AH19" s="100"/>
      <c r="AI19" s="104"/>
      <c r="AJ19" s="13"/>
      <c r="AK19" s="105"/>
      <c r="AL19" s="13"/>
      <c r="AM19" s="105"/>
      <c r="AN19" s="100"/>
      <c r="AO19" s="105"/>
      <c r="AP19" s="100"/>
      <c r="AQ19" s="106"/>
    </row>
    <row r="20" spans="1:43" x14ac:dyDescent="0.25">
      <c r="A20" s="109" t="s">
        <v>134</v>
      </c>
      <c r="B20" s="107">
        <v>122407</v>
      </c>
      <c r="C20" s="108">
        <v>8922045</v>
      </c>
      <c r="D20" s="108">
        <v>892</v>
      </c>
      <c r="E20" s="108" t="s">
        <v>9</v>
      </c>
      <c r="F20" s="109">
        <v>2045</v>
      </c>
      <c r="G20" s="108" t="s">
        <v>10</v>
      </c>
      <c r="H20" s="108" t="s">
        <v>127</v>
      </c>
      <c r="I20" s="108" t="s">
        <v>11</v>
      </c>
      <c r="J20" s="111">
        <v>20101.999999999996</v>
      </c>
      <c r="K20" s="112"/>
      <c r="L20" s="113">
        <v>11727</v>
      </c>
      <c r="M20" s="110"/>
      <c r="N20" s="114"/>
      <c r="O20" s="115">
        <v>22</v>
      </c>
      <c r="P20" s="110"/>
      <c r="Q20" s="115">
        <v>9</v>
      </c>
      <c r="R20" s="11"/>
      <c r="S20" s="116">
        <f t="shared" ref="S20:S59" si="0">O20-Q20</f>
        <v>13</v>
      </c>
      <c r="T20" s="110"/>
      <c r="U20" s="115">
        <v>17</v>
      </c>
      <c r="V20" s="110"/>
      <c r="W20" s="115">
        <v>7</v>
      </c>
      <c r="X20" s="11"/>
      <c r="Y20" s="116">
        <f t="shared" ref="Y20:Y59" si="1">U20-W20</f>
        <v>10</v>
      </c>
      <c r="Z20" s="11"/>
      <c r="AA20" s="115">
        <v>54</v>
      </c>
      <c r="AB20" s="110"/>
      <c r="AC20" s="115">
        <v>22</v>
      </c>
      <c r="AD20" s="11"/>
      <c r="AE20" s="116">
        <f t="shared" ref="AE20:AE59" si="2">AA20-AC20</f>
        <v>32</v>
      </c>
      <c r="AF20" s="110"/>
      <c r="AG20" s="115">
        <v>51</v>
      </c>
      <c r="AH20" s="110"/>
      <c r="AI20" s="115">
        <v>14</v>
      </c>
      <c r="AJ20" s="11"/>
      <c r="AK20" s="116">
        <f t="shared" ref="AK20:AK59" si="3">AG20-AI20</f>
        <v>37</v>
      </c>
      <c r="AL20" s="11"/>
      <c r="AM20" s="117">
        <f t="shared" ref="AM20:AM59" si="4">MAX((S20+Y20)/2,Y20)</f>
        <v>11.5</v>
      </c>
      <c r="AN20" s="110"/>
      <c r="AO20" s="117">
        <f t="shared" ref="AO20:AO59" si="5">(AE20+AK20)/2</f>
        <v>34.5</v>
      </c>
      <c r="AP20" s="110"/>
      <c r="AQ20" s="118">
        <f t="shared" ref="AQ20:AQ59" si="6">AO20+AM20</f>
        <v>46</v>
      </c>
    </row>
    <row r="21" spans="1:43" x14ac:dyDescent="0.25">
      <c r="A21" s="109" t="s">
        <v>151</v>
      </c>
      <c r="B21" s="119">
        <v>122413</v>
      </c>
      <c r="C21" s="120">
        <v>8922056</v>
      </c>
      <c r="D21" s="120">
        <v>892</v>
      </c>
      <c r="E21" s="120" t="s">
        <v>9</v>
      </c>
      <c r="F21" s="121">
        <v>2056</v>
      </c>
      <c r="G21" s="120" t="s">
        <v>12</v>
      </c>
      <c r="H21" s="120" t="s">
        <v>127</v>
      </c>
      <c r="I21" s="120" t="s">
        <v>11</v>
      </c>
      <c r="J21" s="123">
        <v>41514.999999999993</v>
      </c>
      <c r="K21" s="124"/>
      <c r="L21" s="125">
        <v>24218</v>
      </c>
      <c r="M21" s="122"/>
      <c r="N21" s="126"/>
      <c r="O21" s="127">
        <v>45</v>
      </c>
      <c r="P21" s="122"/>
      <c r="Q21" s="127">
        <v>16</v>
      </c>
      <c r="R21" s="12"/>
      <c r="S21" s="128">
        <f t="shared" si="0"/>
        <v>29</v>
      </c>
      <c r="T21" s="122"/>
      <c r="U21" s="127">
        <v>42</v>
      </c>
      <c r="V21" s="122"/>
      <c r="W21" s="127">
        <v>15</v>
      </c>
      <c r="X21" s="12"/>
      <c r="Y21" s="128">
        <f t="shared" si="1"/>
        <v>27</v>
      </c>
      <c r="Z21" s="12"/>
      <c r="AA21" s="127">
        <v>96</v>
      </c>
      <c r="AB21" s="122"/>
      <c r="AC21" s="127">
        <v>27</v>
      </c>
      <c r="AD21" s="12"/>
      <c r="AE21" s="128">
        <f t="shared" si="2"/>
        <v>69</v>
      </c>
      <c r="AF21" s="122"/>
      <c r="AG21" s="127">
        <v>86</v>
      </c>
      <c r="AH21" s="122"/>
      <c r="AI21" s="127">
        <v>21</v>
      </c>
      <c r="AJ21" s="12"/>
      <c r="AK21" s="128">
        <f t="shared" si="3"/>
        <v>65</v>
      </c>
      <c r="AL21" s="12"/>
      <c r="AM21" s="129">
        <f t="shared" si="4"/>
        <v>28</v>
      </c>
      <c r="AN21" s="122"/>
      <c r="AO21" s="129">
        <f t="shared" si="5"/>
        <v>67</v>
      </c>
      <c r="AP21" s="122"/>
      <c r="AQ21" s="130">
        <f t="shared" si="6"/>
        <v>95</v>
      </c>
    </row>
    <row r="22" spans="1:43" x14ac:dyDescent="0.25">
      <c r="A22" s="109" t="s">
        <v>152</v>
      </c>
      <c r="B22" s="119">
        <v>122414</v>
      </c>
      <c r="C22" s="120">
        <v>8922057</v>
      </c>
      <c r="D22" s="120">
        <v>892</v>
      </c>
      <c r="E22" s="120" t="s">
        <v>9</v>
      </c>
      <c r="F22" s="121">
        <v>2057</v>
      </c>
      <c r="G22" s="120" t="s">
        <v>13</v>
      </c>
      <c r="H22" s="120" t="s">
        <v>127</v>
      </c>
      <c r="I22" s="120" t="s">
        <v>11</v>
      </c>
      <c r="J22" s="123">
        <v>28623.499999999996</v>
      </c>
      <c r="K22" s="124"/>
      <c r="L22" s="125">
        <v>16698</v>
      </c>
      <c r="M22" s="122"/>
      <c r="N22" s="126"/>
      <c r="O22" s="127">
        <v>28</v>
      </c>
      <c r="P22" s="122"/>
      <c r="Q22" s="127">
        <v>2</v>
      </c>
      <c r="R22" s="12"/>
      <c r="S22" s="128">
        <f t="shared" si="0"/>
        <v>26</v>
      </c>
      <c r="T22" s="122"/>
      <c r="U22" s="127">
        <v>26</v>
      </c>
      <c r="V22" s="122"/>
      <c r="W22" s="127">
        <v>1</v>
      </c>
      <c r="X22" s="12"/>
      <c r="Y22" s="128">
        <f t="shared" si="1"/>
        <v>25</v>
      </c>
      <c r="Z22" s="12"/>
      <c r="AA22" s="127">
        <v>42</v>
      </c>
      <c r="AB22" s="122"/>
      <c r="AC22" s="127">
        <v>2</v>
      </c>
      <c r="AD22" s="12"/>
      <c r="AE22" s="128">
        <f t="shared" si="2"/>
        <v>40</v>
      </c>
      <c r="AF22" s="122"/>
      <c r="AG22" s="127">
        <v>41</v>
      </c>
      <c r="AH22" s="122"/>
      <c r="AI22" s="127">
        <v>1</v>
      </c>
      <c r="AJ22" s="12"/>
      <c r="AK22" s="128">
        <f t="shared" si="3"/>
        <v>40</v>
      </c>
      <c r="AL22" s="12"/>
      <c r="AM22" s="129">
        <f t="shared" si="4"/>
        <v>25.5</v>
      </c>
      <c r="AN22" s="122"/>
      <c r="AO22" s="129">
        <f t="shared" si="5"/>
        <v>40</v>
      </c>
      <c r="AP22" s="122"/>
      <c r="AQ22" s="130">
        <f t="shared" si="6"/>
        <v>65.5</v>
      </c>
    </row>
    <row r="23" spans="1:43" x14ac:dyDescent="0.25">
      <c r="A23" s="109" t="s">
        <v>153</v>
      </c>
      <c r="B23" s="119">
        <v>122416</v>
      </c>
      <c r="C23" s="120">
        <v>8922061</v>
      </c>
      <c r="D23" s="120">
        <v>892</v>
      </c>
      <c r="E23" s="120" t="s">
        <v>9</v>
      </c>
      <c r="F23" s="121">
        <v>2061</v>
      </c>
      <c r="G23" s="120" t="s">
        <v>14</v>
      </c>
      <c r="H23" s="120" t="s">
        <v>127</v>
      </c>
      <c r="I23" s="120" t="s">
        <v>11</v>
      </c>
      <c r="J23" s="123">
        <v>83903.999999999985</v>
      </c>
      <c r="K23" s="124"/>
      <c r="L23" s="125">
        <v>48944</v>
      </c>
      <c r="M23" s="122"/>
      <c r="N23" s="126"/>
      <c r="O23" s="127">
        <v>55</v>
      </c>
      <c r="P23" s="122"/>
      <c r="Q23" s="127">
        <v>7</v>
      </c>
      <c r="R23" s="12"/>
      <c r="S23" s="128">
        <f t="shared" si="0"/>
        <v>48</v>
      </c>
      <c r="T23" s="122"/>
      <c r="U23" s="127">
        <v>57</v>
      </c>
      <c r="V23" s="122"/>
      <c r="W23" s="127">
        <v>5</v>
      </c>
      <c r="X23" s="12"/>
      <c r="Y23" s="128">
        <f t="shared" si="1"/>
        <v>52</v>
      </c>
      <c r="Z23" s="12"/>
      <c r="AA23" s="127">
        <v>156</v>
      </c>
      <c r="AB23" s="122"/>
      <c r="AC23" s="127">
        <v>18</v>
      </c>
      <c r="AD23" s="12"/>
      <c r="AE23" s="128">
        <f t="shared" si="2"/>
        <v>138</v>
      </c>
      <c r="AF23" s="122"/>
      <c r="AG23" s="127">
        <v>159</v>
      </c>
      <c r="AH23" s="122"/>
      <c r="AI23" s="127">
        <v>17</v>
      </c>
      <c r="AJ23" s="12"/>
      <c r="AK23" s="128">
        <f t="shared" si="3"/>
        <v>142</v>
      </c>
      <c r="AL23" s="12"/>
      <c r="AM23" s="129">
        <f t="shared" si="4"/>
        <v>52</v>
      </c>
      <c r="AN23" s="122"/>
      <c r="AO23" s="129">
        <f t="shared" si="5"/>
        <v>140</v>
      </c>
      <c r="AP23" s="122"/>
      <c r="AQ23" s="130">
        <f t="shared" si="6"/>
        <v>192</v>
      </c>
    </row>
    <row r="24" spans="1:43" x14ac:dyDescent="0.25">
      <c r="A24" s="109" t="s">
        <v>154</v>
      </c>
      <c r="B24" s="119">
        <v>122426</v>
      </c>
      <c r="C24" s="120">
        <v>8922079</v>
      </c>
      <c r="D24" s="120">
        <v>892</v>
      </c>
      <c r="E24" s="120" t="s">
        <v>9</v>
      </c>
      <c r="F24" s="121">
        <v>2079</v>
      </c>
      <c r="G24" s="120" t="s">
        <v>15</v>
      </c>
      <c r="H24" s="120" t="s">
        <v>127</v>
      </c>
      <c r="I24" s="120" t="s">
        <v>11</v>
      </c>
      <c r="J24" s="123">
        <v>22942.499999999996</v>
      </c>
      <c r="K24" s="124"/>
      <c r="L24" s="125">
        <v>13384</v>
      </c>
      <c r="M24" s="122"/>
      <c r="N24" s="126"/>
      <c r="O24" s="127">
        <v>30</v>
      </c>
      <c r="P24" s="122"/>
      <c r="Q24" s="127">
        <v>9</v>
      </c>
      <c r="R24" s="12"/>
      <c r="S24" s="128">
        <f t="shared" si="0"/>
        <v>21</v>
      </c>
      <c r="T24" s="122"/>
      <c r="U24" s="127">
        <v>21</v>
      </c>
      <c r="V24" s="122"/>
      <c r="W24" s="127">
        <v>7</v>
      </c>
      <c r="X24" s="12"/>
      <c r="Y24" s="128">
        <f t="shared" si="1"/>
        <v>14</v>
      </c>
      <c r="Z24" s="12"/>
      <c r="AA24" s="127">
        <v>57</v>
      </c>
      <c r="AB24" s="122"/>
      <c r="AC24" s="127">
        <v>18</v>
      </c>
      <c r="AD24" s="12"/>
      <c r="AE24" s="128">
        <f t="shared" si="2"/>
        <v>39</v>
      </c>
      <c r="AF24" s="122"/>
      <c r="AG24" s="127">
        <v>48</v>
      </c>
      <c r="AH24" s="122"/>
      <c r="AI24" s="127">
        <v>17</v>
      </c>
      <c r="AJ24" s="12"/>
      <c r="AK24" s="128">
        <f t="shared" si="3"/>
        <v>31</v>
      </c>
      <c r="AL24" s="12"/>
      <c r="AM24" s="129">
        <f t="shared" si="4"/>
        <v>17.5</v>
      </c>
      <c r="AN24" s="122"/>
      <c r="AO24" s="129">
        <f t="shared" si="5"/>
        <v>35</v>
      </c>
      <c r="AP24" s="122"/>
      <c r="AQ24" s="130">
        <f t="shared" si="6"/>
        <v>52.5</v>
      </c>
    </row>
    <row r="25" spans="1:43" x14ac:dyDescent="0.25">
      <c r="A25" s="109" t="s">
        <v>155</v>
      </c>
      <c r="B25" s="119">
        <v>122427</v>
      </c>
      <c r="C25" s="120">
        <v>8922080</v>
      </c>
      <c r="D25" s="120">
        <v>892</v>
      </c>
      <c r="E25" s="120" t="s">
        <v>9</v>
      </c>
      <c r="F25" s="121">
        <v>2080</v>
      </c>
      <c r="G25" s="120" t="s">
        <v>16</v>
      </c>
      <c r="H25" s="120" t="s">
        <v>127</v>
      </c>
      <c r="I25" s="120" t="s">
        <v>11</v>
      </c>
      <c r="J25" s="123">
        <v>73197.499999999985</v>
      </c>
      <c r="K25" s="124"/>
      <c r="L25" s="125">
        <v>42699</v>
      </c>
      <c r="M25" s="122"/>
      <c r="N25" s="126"/>
      <c r="O25" s="127">
        <v>65</v>
      </c>
      <c r="P25" s="122"/>
      <c r="Q25" s="127">
        <v>5</v>
      </c>
      <c r="R25" s="12"/>
      <c r="S25" s="128">
        <f t="shared" si="0"/>
        <v>60</v>
      </c>
      <c r="T25" s="122"/>
      <c r="U25" s="127">
        <v>59</v>
      </c>
      <c r="V25" s="122"/>
      <c r="W25" s="127">
        <v>4</v>
      </c>
      <c r="X25" s="12"/>
      <c r="Y25" s="128">
        <f t="shared" si="1"/>
        <v>55</v>
      </c>
      <c r="Z25" s="12"/>
      <c r="AA25" s="127">
        <v>117</v>
      </c>
      <c r="AB25" s="122"/>
      <c r="AC25" s="127">
        <v>5</v>
      </c>
      <c r="AD25" s="12"/>
      <c r="AE25" s="128">
        <f t="shared" si="2"/>
        <v>112</v>
      </c>
      <c r="AF25" s="122"/>
      <c r="AG25" s="127">
        <v>112</v>
      </c>
      <c r="AH25" s="122"/>
      <c r="AI25" s="127">
        <v>4</v>
      </c>
      <c r="AJ25" s="12"/>
      <c r="AK25" s="128">
        <f t="shared" si="3"/>
        <v>108</v>
      </c>
      <c r="AL25" s="12"/>
      <c r="AM25" s="129">
        <f t="shared" si="4"/>
        <v>57.5</v>
      </c>
      <c r="AN25" s="122"/>
      <c r="AO25" s="129">
        <f t="shared" si="5"/>
        <v>110</v>
      </c>
      <c r="AP25" s="122"/>
      <c r="AQ25" s="130">
        <f t="shared" si="6"/>
        <v>167.5</v>
      </c>
    </row>
    <row r="26" spans="1:43" x14ac:dyDescent="0.25">
      <c r="A26" s="109" t="s">
        <v>188</v>
      </c>
      <c r="B26" s="119">
        <v>122429</v>
      </c>
      <c r="C26" s="120">
        <v>8922082</v>
      </c>
      <c r="D26" s="120">
        <v>892</v>
      </c>
      <c r="E26" s="120" t="s">
        <v>9</v>
      </c>
      <c r="F26" s="121">
        <v>2082</v>
      </c>
      <c r="G26" s="120" t="s">
        <v>17</v>
      </c>
      <c r="H26" s="120" t="s">
        <v>127</v>
      </c>
      <c r="I26" s="120" t="s">
        <v>11</v>
      </c>
      <c r="J26" s="123">
        <v>26656.999999999996</v>
      </c>
      <c r="K26" s="124"/>
      <c r="L26" s="125">
        <v>15550</v>
      </c>
      <c r="M26" s="122"/>
      <c r="N26" s="126"/>
      <c r="O26" s="127">
        <v>29</v>
      </c>
      <c r="P26" s="122"/>
      <c r="Q26" s="127">
        <v>7</v>
      </c>
      <c r="R26" s="12"/>
      <c r="S26" s="128">
        <f t="shared" si="0"/>
        <v>22</v>
      </c>
      <c r="T26" s="122"/>
      <c r="U26" s="127">
        <v>30</v>
      </c>
      <c r="V26" s="122"/>
      <c r="W26" s="127">
        <v>5</v>
      </c>
      <c r="X26" s="12"/>
      <c r="Y26" s="128">
        <f t="shared" si="1"/>
        <v>25</v>
      </c>
      <c r="Z26" s="12"/>
      <c r="AA26" s="127">
        <v>56</v>
      </c>
      <c r="AB26" s="122"/>
      <c r="AC26" s="127">
        <v>20</v>
      </c>
      <c r="AD26" s="12"/>
      <c r="AE26" s="128">
        <f t="shared" si="2"/>
        <v>36</v>
      </c>
      <c r="AF26" s="122"/>
      <c r="AG26" s="127">
        <v>59</v>
      </c>
      <c r="AH26" s="122"/>
      <c r="AI26" s="127">
        <v>23</v>
      </c>
      <c r="AJ26" s="12"/>
      <c r="AK26" s="128">
        <f t="shared" si="3"/>
        <v>36</v>
      </c>
      <c r="AL26" s="12"/>
      <c r="AM26" s="129">
        <f t="shared" si="4"/>
        <v>25</v>
      </c>
      <c r="AN26" s="122"/>
      <c r="AO26" s="129">
        <f t="shared" si="5"/>
        <v>36</v>
      </c>
      <c r="AP26" s="122"/>
      <c r="AQ26" s="130">
        <f t="shared" si="6"/>
        <v>61</v>
      </c>
    </row>
    <row r="27" spans="1:43" x14ac:dyDescent="0.25">
      <c r="A27" s="109" t="s">
        <v>156</v>
      </c>
      <c r="B27" s="119">
        <v>122437</v>
      </c>
      <c r="C27" s="120">
        <v>8922090</v>
      </c>
      <c r="D27" s="120">
        <v>892</v>
      </c>
      <c r="E27" s="120" t="s">
        <v>9</v>
      </c>
      <c r="F27" s="121">
        <v>2090</v>
      </c>
      <c r="G27" s="120" t="s">
        <v>18</v>
      </c>
      <c r="H27" s="120" t="s">
        <v>127</v>
      </c>
      <c r="I27" s="120" t="s">
        <v>11</v>
      </c>
      <c r="J27" s="123">
        <v>44792.499999999993</v>
      </c>
      <c r="K27" s="124"/>
      <c r="L27" s="125">
        <v>26129</v>
      </c>
      <c r="M27" s="122"/>
      <c r="N27" s="126"/>
      <c r="O27" s="127">
        <v>39</v>
      </c>
      <c r="P27" s="122"/>
      <c r="Q27" s="127">
        <v>6</v>
      </c>
      <c r="R27" s="12"/>
      <c r="S27" s="128">
        <f t="shared" si="0"/>
        <v>33</v>
      </c>
      <c r="T27" s="122"/>
      <c r="U27" s="127">
        <v>32</v>
      </c>
      <c r="V27" s="122"/>
      <c r="W27" s="127">
        <v>5</v>
      </c>
      <c r="X27" s="12"/>
      <c r="Y27" s="128">
        <f t="shared" si="1"/>
        <v>27</v>
      </c>
      <c r="Z27" s="12"/>
      <c r="AA27" s="127">
        <v>86</v>
      </c>
      <c r="AB27" s="122"/>
      <c r="AC27" s="127">
        <v>14</v>
      </c>
      <c r="AD27" s="12"/>
      <c r="AE27" s="128">
        <f t="shared" si="2"/>
        <v>72</v>
      </c>
      <c r="AF27" s="122"/>
      <c r="AG27" s="127">
        <v>86</v>
      </c>
      <c r="AH27" s="122"/>
      <c r="AI27" s="127">
        <v>13</v>
      </c>
      <c r="AJ27" s="12"/>
      <c r="AK27" s="128">
        <f t="shared" si="3"/>
        <v>73</v>
      </c>
      <c r="AL27" s="12"/>
      <c r="AM27" s="129">
        <f t="shared" si="4"/>
        <v>30</v>
      </c>
      <c r="AN27" s="122"/>
      <c r="AO27" s="129">
        <f t="shared" si="5"/>
        <v>72.5</v>
      </c>
      <c r="AP27" s="122"/>
      <c r="AQ27" s="130">
        <f t="shared" si="6"/>
        <v>102.5</v>
      </c>
    </row>
    <row r="28" spans="1:43" x14ac:dyDescent="0.25">
      <c r="A28" s="109" t="s">
        <v>157</v>
      </c>
      <c r="B28" s="119">
        <v>122442</v>
      </c>
      <c r="C28" s="120">
        <v>8922095</v>
      </c>
      <c r="D28" s="120">
        <v>892</v>
      </c>
      <c r="E28" s="120" t="s">
        <v>9</v>
      </c>
      <c r="F28" s="121">
        <v>2095</v>
      </c>
      <c r="G28" s="120" t="s">
        <v>19</v>
      </c>
      <c r="H28" s="120" t="s">
        <v>127</v>
      </c>
      <c r="I28" s="120" t="s">
        <v>11</v>
      </c>
      <c r="J28" s="123">
        <v>55717.499999999993</v>
      </c>
      <c r="K28" s="124"/>
      <c r="L28" s="125">
        <v>32502</v>
      </c>
      <c r="M28" s="122"/>
      <c r="N28" s="126"/>
      <c r="O28" s="127">
        <v>41</v>
      </c>
      <c r="P28" s="122"/>
      <c r="Q28" s="127">
        <v>11</v>
      </c>
      <c r="R28" s="12"/>
      <c r="S28" s="128">
        <f t="shared" si="0"/>
        <v>30</v>
      </c>
      <c r="T28" s="122"/>
      <c r="U28" s="127">
        <v>69</v>
      </c>
      <c r="V28" s="122"/>
      <c r="W28" s="127">
        <v>15</v>
      </c>
      <c r="X28" s="12"/>
      <c r="Y28" s="128">
        <f t="shared" si="1"/>
        <v>54</v>
      </c>
      <c r="Z28" s="12"/>
      <c r="AA28" s="127">
        <v>102</v>
      </c>
      <c r="AB28" s="122"/>
      <c r="AC28" s="127">
        <v>26</v>
      </c>
      <c r="AD28" s="12"/>
      <c r="AE28" s="128">
        <f t="shared" si="2"/>
        <v>76</v>
      </c>
      <c r="AF28" s="122"/>
      <c r="AG28" s="127">
        <v>99</v>
      </c>
      <c r="AH28" s="122"/>
      <c r="AI28" s="127">
        <v>28</v>
      </c>
      <c r="AJ28" s="12"/>
      <c r="AK28" s="128">
        <f t="shared" si="3"/>
        <v>71</v>
      </c>
      <c r="AL28" s="12"/>
      <c r="AM28" s="129">
        <f t="shared" si="4"/>
        <v>54</v>
      </c>
      <c r="AN28" s="122"/>
      <c r="AO28" s="129">
        <f t="shared" si="5"/>
        <v>73.5</v>
      </c>
      <c r="AP28" s="122"/>
      <c r="AQ28" s="130">
        <f t="shared" si="6"/>
        <v>127.5</v>
      </c>
    </row>
    <row r="29" spans="1:43" x14ac:dyDescent="0.25">
      <c r="A29" s="109" t="s">
        <v>158</v>
      </c>
      <c r="B29" s="119">
        <v>122444</v>
      </c>
      <c r="C29" s="120">
        <v>8922097</v>
      </c>
      <c r="D29" s="120">
        <v>892</v>
      </c>
      <c r="E29" s="120" t="s">
        <v>9</v>
      </c>
      <c r="F29" s="121">
        <v>2097</v>
      </c>
      <c r="G29" s="120" t="s">
        <v>20</v>
      </c>
      <c r="H29" s="120" t="s">
        <v>127</v>
      </c>
      <c r="I29" s="120" t="s">
        <v>11</v>
      </c>
      <c r="J29" s="123">
        <v>19664.999999999996</v>
      </c>
      <c r="K29" s="124"/>
      <c r="L29" s="125">
        <v>11472</v>
      </c>
      <c r="M29" s="122"/>
      <c r="N29" s="126"/>
      <c r="O29" s="127">
        <v>27</v>
      </c>
      <c r="P29" s="122"/>
      <c r="Q29" s="127">
        <v>8</v>
      </c>
      <c r="R29" s="12"/>
      <c r="S29" s="128">
        <f t="shared" si="0"/>
        <v>19</v>
      </c>
      <c r="T29" s="122"/>
      <c r="U29" s="127">
        <v>21</v>
      </c>
      <c r="V29" s="122"/>
      <c r="W29" s="127">
        <v>5</v>
      </c>
      <c r="X29" s="12"/>
      <c r="Y29" s="128">
        <f t="shared" si="1"/>
        <v>16</v>
      </c>
      <c r="Z29" s="12"/>
      <c r="AA29" s="127">
        <v>51</v>
      </c>
      <c r="AB29" s="122"/>
      <c r="AC29" s="127">
        <v>24</v>
      </c>
      <c r="AD29" s="12"/>
      <c r="AE29" s="128">
        <f t="shared" si="2"/>
        <v>27</v>
      </c>
      <c r="AF29" s="122"/>
      <c r="AG29" s="127">
        <v>48</v>
      </c>
      <c r="AH29" s="122"/>
      <c r="AI29" s="127">
        <v>20</v>
      </c>
      <c r="AJ29" s="12"/>
      <c r="AK29" s="128">
        <f t="shared" si="3"/>
        <v>28</v>
      </c>
      <c r="AL29" s="12"/>
      <c r="AM29" s="129">
        <f t="shared" si="4"/>
        <v>17.5</v>
      </c>
      <c r="AN29" s="122"/>
      <c r="AO29" s="129">
        <f t="shared" si="5"/>
        <v>27.5</v>
      </c>
      <c r="AP29" s="122"/>
      <c r="AQ29" s="130">
        <f t="shared" si="6"/>
        <v>45</v>
      </c>
    </row>
    <row r="30" spans="1:43" x14ac:dyDescent="0.25">
      <c r="A30" s="109" t="s">
        <v>159</v>
      </c>
      <c r="B30" s="119">
        <v>122456</v>
      </c>
      <c r="C30" s="120">
        <v>8922117</v>
      </c>
      <c r="D30" s="120">
        <v>892</v>
      </c>
      <c r="E30" s="120" t="s">
        <v>9</v>
      </c>
      <c r="F30" s="121">
        <v>2117</v>
      </c>
      <c r="G30" s="120" t="s">
        <v>21</v>
      </c>
      <c r="H30" s="120" t="s">
        <v>127</v>
      </c>
      <c r="I30" s="120" t="s">
        <v>11</v>
      </c>
      <c r="J30" s="123">
        <v>52876.999999999993</v>
      </c>
      <c r="K30" s="124"/>
      <c r="L30" s="125">
        <v>30845</v>
      </c>
      <c r="M30" s="122"/>
      <c r="N30" s="126"/>
      <c r="O30" s="127">
        <v>55</v>
      </c>
      <c r="P30" s="122"/>
      <c r="Q30" s="127">
        <v>10</v>
      </c>
      <c r="R30" s="12"/>
      <c r="S30" s="128">
        <f t="shared" si="0"/>
        <v>45</v>
      </c>
      <c r="T30" s="122"/>
      <c r="U30" s="127">
        <v>56</v>
      </c>
      <c r="V30" s="122"/>
      <c r="W30" s="127">
        <v>10</v>
      </c>
      <c r="X30" s="12"/>
      <c r="Y30" s="128">
        <f t="shared" si="1"/>
        <v>46</v>
      </c>
      <c r="Z30" s="12"/>
      <c r="AA30" s="127">
        <v>107</v>
      </c>
      <c r="AB30" s="122"/>
      <c r="AC30" s="127">
        <v>33</v>
      </c>
      <c r="AD30" s="12"/>
      <c r="AE30" s="128">
        <f t="shared" si="2"/>
        <v>74</v>
      </c>
      <c r="AF30" s="122"/>
      <c r="AG30" s="127">
        <v>110</v>
      </c>
      <c r="AH30" s="122"/>
      <c r="AI30" s="127">
        <v>34</v>
      </c>
      <c r="AJ30" s="12"/>
      <c r="AK30" s="128">
        <f t="shared" si="3"/>
        <v>76</v>
      </c>
      <c r="AL30" s="12"/>
      <c r="AM30" s="129">
        <f t="shared" si="4"/>
        <v>46</v>
      </c>
      <c r="AN30" s="122"/>
      <c r="AO30" s="129">
        <f t="shared" si="5"/>
        <v>75</v>
      </c>
      <c r="AP30" s="122"/>
      <c r="AQ30" s="130">
        <f t="shared" si="6"/>
        <v>121</v>
      </c>
    </row>
    <row r="31" spans="1:43" x14ac:dyDescent="0.25">
      <c r="A31" s="109" t="s">
        <v>160</v>
      </c>
      <c r="B31" s="119">
        <v>122465</v>
      </c>
      <c r="C31" s="120">
        <v>8922128</v>
      </c>
      <c r="D31" s="120">
        <v>892</v>
      </c>
      <c r="E31" s="120" t="s">
        <v>9</v>
      </c>
      <c r="F31" s="121">
        <v>2128</v>
      </c>
      <c r="G31" s="120" t="s">
        <v>22</v>
      </c>
      <c r="H31" s="120" t="s">
        <v>127</v>
      </c>
      <c r="I31" s="120" t="s">
        <v>11</v>
      </c>
      <c r="J31" s="123">
        <v>24253.499999999996</v>
      </c>
      <c r="K31" s="124"/>
      <c r="L31" s="125">
        <v>14148</v>
      </c>
      <c r="M31" s="122"/>
      <c r="N31" s="126"/>
      <c r="O31" s="127">
        <v>28</v>
      </c>
      <c r="P31" s="122"/>
      <c r="Q31" s="127">
        <v>8</v>
      </c>
      <c r="R31" s="12"/>
      <c r="S31" s="128">
        <f t="shared" si="0"/>
        <v>20</v>
      </c>
      <c r="T31" s="122"/>
      <c r="U31" s="127">
        <v>25</v>
      </c>
      <c r="V31" s="122"/>
      <c r="W31" s="127">
        <v>6</v>
      </c>
      <c r="X31" s="12"/>
      <c r="Y31" s="128">
        <f t="shared" si="1"/>
        <v>19</v>
      </c>
      <c r="Z31" s="12"/>
      <c r="AA31" s="127">
        <v>57</v>
      </c>
      <c r="AB31" s="122"/>
      <c r="AC31" s="127">
        <v>20</v>
      </c>
      <c r="AD31" s="12"/>
      <c r="AE31" s="128">
        <f t="shared" si="2"/>
        <v>37</v>
      </c>
      <c r="AF31" s="122"/>
      <c r="AG31" s="127">
        <v>56</v>
      </c>
      <c r="AH31" s="122"/>
      <c r="AI31" s="127">
        <v>21</v>
      </c>
      <c r="AJ31" s="12"/>
      <c r="AK31" s="128">
        <f t="shared" si="3"/>
        <v>35</v>
      </c>
      <c r="AL31" s="12"/>
      <c r="AM31" s="129">
        <f t="shared" si="4"/>
        <v>19.5</v>
      </c>
      <c r="AN31" s="122"/>
      <c r="AO31" s="129">
        <f t="shared" si="5"/>
        <v>36</v>
      </c>
      <c r="AP31" s="122"/>
      <c r="AQ31" s="130">
        <f t="shared" si="6"/>
        <v>55.5</v>
      </c>
    </row>
    <row r="32" spans="1:43" x14ac:dyDescent="0.25">
      <c r="A32" s="109" t="s">
        <v>187</v>
      </c>
      <c r="B32" s="119">
        <v>142223</v>
      </c>
      <c r="C32" s="120">
        <v>8922016</v>
      </c>
      <c r="D32" s="120">
        <v>892</v>
      </c>
      <c r="E32" s="120" t="s">
        <v>9</v>
      </c>
      <c r="F32" s="121">
        <v>2016</v>
      </c>
      <c r="G32" s="120" t="s">
        <v>133</v>
      </c>
      <c r="H32" s="120" t="s">
        <v>127</v>
      </c>
      <c r="I32" s="120" t="s">
        <v>11</v>
      </c>
      <c r="J32" s="123">
        <v>152512.99999999997</v>
      </c>
      <c r="K32" s="124"/>
      <c r="L32" s="125">
        <v>88966</v>
      </c>
      <c r="M32" s="122"/>
      <c r="N32" s="126"/>
      <c r="O32" s="127">
        <v>134</v>
      </c>
      <c r="P32" s="122"/>
      <c r="Q32" s="127">
        <v>4</v>
      </c>
      <c r="R32" s="12"/>
      <c r="S32" s="128">
        <f t="shared" si="0"/>
        <v>130</v>
      </c>
      <c r="T32" s="122"/>
      <c r="U32" s="127">
        <v>146</v>
      </c>
      <c r="V32" s="122"/>
      <c r="W32" s="127">
        <v>4</v>
      </c>
      <c r="X32" s="12"/>
      <c r="Y32" s="128">
        <f t="shared" si="1"/>
        <v>142</v>
      </c>
      <c r="Z32" s="12"/>
      <c r="AA32" s="127">
        <v>216</v>
      </c>
      <c r="AB32" s="122"/>
      <c r="AC32" s="127">
        <v>18</v>
      </c>
      <c r="AD32" s="12"/>
      <c r="AE32" s="128">
        <f t="shared" si="2"/>
        <v>198</v>
      </c>
      <c r="AF32" s="122"/>
      <c r="AG32" s="127">
        <v>232</v>
      </c>
      <c r="AH32" s="122"/>
      <c r="AI32" s="127">
        <v>16</v>
      </c>
      <c r="AJ32" s="12"/>
      <c r="AK32" s="128">
        <f t="shared" si="3"/>
        <v>216</v>
      </c>
      <c r="AL32" s="12"/>
      <c r="AM32" s="129">
        <f t="shared" si="4"/>
        <v>142</v>
      </c>
      <c r="AN32" s="122"/>
      <c r="AO32" s="129">
        <f t="shared" si="5"/>
        <v>207</v>
      </c>
      <c r="AP32" s="122"/>
      <c r="AQ32" s="130">
        <f t="shared" si="6"/>
        <v>349</v>
      </c>
    </row>
    <row r="33" spans="1:43" x14ac:dyDescent="0.25">
      <c r="A33" s="109" t="s">
        <v>161</v>
      </c>
      <c r="B33" s="119">
        <v>122474</v>
      </c>
      <c r="C33" s="120">
        <v>8922151</v>
      </c>
      <c r="D33" s="120">
        <v>892</v>
      </c>
      <c r="E33" s="120" t="s">
        <v>9</v>
      </c>
      <c r="F33" s="121">
        <v>2151</v>
      </c>
      <c r="G33" s="120" t="s">
        <v>24</v>
      </c>
      <c r="H33" s="120" t="s">
        <v>127</v>
      </c>
      <c r="I33" s="120" t="s">
        <v>11</v>
      </c>
      <c r="J33" s="123">
        <v>45884.999999999993</v>
      </c>
      <c r="K33" s="124"/>
      <c r="L33" s="125">
        <v>26767</v>
      </c>
      <c r="M33" s="122"/>
      <c r="N33" s="126"/>
      <c r="O33" s="127">
        <v>43</v>
      </c>
      <c r="P33" s="122"/>
      <c r="Q33" s="127">
        <v>13</v>
      </c>
      <c r="R33" s="12"/>
      <c r="S33" s="128">
        <f t="shared" si="0"/>
        <v>30</v>
      </c>
      <c r="T33" s="122"/>
      <c r="U33" s="127">
        <v>45</v>
      </c>
      <c r="V33" s="122"/>
      <c r="W33" s="127">
        <v>8</v>
      </c>
      <c r="X33" s="12"/>
      <c r="Y33" s="128">
        <f t="shared" si="1"/>
        <v>37</v>
      </c>
      <c r="Z33" s="12"/>
      <c r="AA33" s="127">
        <v>95</v>
      </c>
      <c r="AB33" s="122"/>
      <c r="AC33" s="127">
        <v>21</v>
      </c>
      <c r="AD33" s="12"/>
      <c r="AE33" s="128">
        <f t="shared" si="2"/>
        <v>74</v>
      </c>
      <c r="AF33" s="122"/>
      <c r="AG33" s="127">
        <v>84</v>
      </c>
      <c r="AH33" s="122"/>
      <c r="AI33" s="127">
        <v>22</v>
      </c>
      <c r="AJ33" s="12"/>
      <c r="AK33" s="128">
        <f t="shared" si="3"/>
        <v>62</v>
      </c>
      <c r="AL33" s="12"/>
      <c r="AM33" s="129">
        <f t="shared" si="4"/>
        <v>37</v>
      </c>
      <c r="AN33" s="122"/>
      <c r="AO33" s="129">
        <f t="shared" si="5"/>
        <v>68</v>
      </c>
      <c r="AP33" s="122"/>
      <c r="AQ33" s="130">
        <f t="shared" si="6"/>
        <v>105</v>
      </c>
    </row>
    <row r="34" spans="1:43" x14ac:dyDescent="0.25">
      <c r="A34" s="109" t="s">
        <v>162</v>
      </c>
      <c r="B34" s="119">
        <v>122476</v>
      </c>
      <c r="C34" s="120">
        <v>8922153</v>
      </c>
      <c r="D34" s="120">
        <v>892</v>
      </c>
      <c r="E34" s="120" t="s">
        <v>9</v>
      </c>
      <c r="F34" s="121">
        <v>2153</v>
      </c>
      <c r="G34" s="120" t="s">
        <v>25</v>
      </c>
      <c r="H34" s="120" t="s">
        <v>127</v>
      </c>
      <c r="I34" s="120" t="s">
        <v>11</v>
      </c>
      <c r="J34" s="123">
        <v>29278.999999999996</v>
      </c>
      <c r="K34" s="124"/>
      <c r="L34" s="125">
        <v>17080</v>
      </c>
      <c r="M34" s="122"/>
      <c r="N34" s="126"/>
      <c r="O34" s="127">
        <v>55</v>
      </c>
      <c r="P34" s="122"/>
      <c r="Q34" s="127">
        <v>28</v>
      </c>
      <c r="R34" s="12"/>
      <c r="S34" s="128">
        <f t="shared" si="0"/>
        <v>27</v>
      </c>
      <c r="T34" s="122"/>
      <c r="U34" s="127">
        <v>53</v>
      </c>
      <c r="V34" s="122"/>
      <c r="W34" s="127">
        <v>34</v>
      </c>
      <c r="X34" s="12"/>
      <c r="Y34" s="128">
        <f t="shared" si="1"/>
        <v>19</v>
      </c>
      <c r="Z34" s="12"/>
      <c r="AA34" s="127">
        <v>105</v>
      </c>
      <c r="AB34" s="122"/>
      <c r="AC34" s="127">
        <v>63</v>
      </c>
      <c r="AD34" s="12"/>
      <c r="AE34" s="128">
        <f t="shared" si="2"/>
        <v>42</v>
      </c>
      <c r="AF34" s="122"/>
      <c r="AG34" s="127">
        <v>111</v>
      </c>
      <c r="AH34" s="122"/>
      <c r="AI34" s="127">
        <v>65</v>
      </c>
      <c r="AJ34" s="12"/>
      <c r="AK34" s="128">
        <f t="shared" si="3"/>
        <v>46</v>
      </c>
      <c r="AL34" s="12"/>
      <c r="AM34" s="129">
        <f t="shared" si="4"/>
        <v>23</v>
      </c>
      <c r="AN34" s="122"/>
      <c r="AO34" s="129">
        <f t="shared" si="5"/>
        <v>44</v>
      </c>
      <c r="AP34" s="122"/>
      <c r="AQ34" s="130">
        <f t="shared" si="6"/>
        <v>67</v>
      </c>
    </row>
    <row r="35" spans="1:43" x14ac:dyDescent="0.25">
      <c r="A35" s="109" t="s">
        <v>189</v>
      </c>
      <c r="B35" s="119">
        <v>122478</v>
      </c>
      <c r="C35" s="120">
        <v>8922155</v>
      </c>
      <c r="D35" s="120">
        <v>892</v>
      </c>
      <c r="E35" s="120" t="s">
        <v>9</v>
      </c>
      <c r="F35" s="121">
        <v>2155</v>
      </c>
      <c r="G35" s="120" t="s">
        <v>26</v>
      </c>
      <c r="H35" s="120" t="s">
        <v>127</v>
      </c>
      <c r="I35" s="120" t="s">
        <v>11</v>
      </c>
      <c r="J35" s="123">
        <v>48506.999999999993</v>
      </c>
      <c r="K35" s="124"/>
      <c r="L35" s="125">
        <v>28296</v>
      </c>
      <c r="M35" s="122"/>
      <c r="N35" s="126"/>
      <c r="O35" s="127">
        <v>51</v>
      </c>
      <c r="P35" s="122"/>
      <c r="Q35" s="127">
        <v>12</v>
      </c>
      <c r="R35" s="12"/>
      <c r="S35" s="128">
        <f t="shared" si="0"/>
        <v>39</v>
      </c>
      <c r="T35" s="122"/>
      <c r="U35" s="127">
        <v>53</v>
      </c>
      <c r="V35" s="122"/>
      <c r="W35" s="127">
        <v>12</v>
      </c>
      <c r="X35" s="12"/>
      <c r="Y35" s="128">
        <f t="shared" si="1"/>
        <v>41</v>
      </c>
      <c r="Z35" s="12"/>
      <c r="AA35" s="127">
        <v>88</v>
      </c>
      <c r="AB35" s="122"/>
      <c r="AC35" s="127">
        <v>23</v>
      </c>
      <c r="AD35" s="12"/>
      <c r="AE35" s="128">
        <f t="shared" si="2"/>
        <v>65</v>
      </c>
      <c r="AF35" s="122"/>
      <c r="AG35" s="127">
        <v>99</v>
      </c>
      <c r="AH35" s="122"/>
      <c r="AI35" s="127">
        <v>24</v>
      </c>
      <c r="AJ35" s="12"/>
      <c r="AK35" s="128">
        <f t="shared" si="3"/>
        <v>75</v>
      </c>
      <c r="AL35" s="12"/>
      <c r="AM35" s="129">
        <f t="shared" si="4"/>
        <v>41</v>
      </c>
      <c r="AN35" s="122"/>
      <c r="AO35" s="129">
        <f t="shared" si="5"/>
        <v>70</v>
      </c>
      <c r="AP35" s="122"/>
      <c r="AQ35" s="130">
        <f t="shared" si="6"/>
        <v>111</v>
      </c>
    </row>
    <row r="36" spans="1:43" x14ac:dyDescent="0.25">
      <c r="A36" s="109" t="s">
        <v>163</v>
      </c>
      <c r="B36" s="119">
        <v>122480</v>
      </c>
      <c r="C36" s="120">
        <v>8922157</v>
      </c>
      <c r="D36" s="120">
        <v>892</v>
      </c>
      <c r="E36" s="120" t="s">
        <v>9</v>
      </c>
      <c r="F36" s="121">
        <v>2157</v>
      </c>
      <c r="G36" s="120" t="s">
        <v>27</v>
      </c>
      <c r="H36" s="120" t="s">
        <v>127</v>
      </c>
      <c r="I36" s="120" t="s">
        <v>11</v>
      </c>
      <c r="J36" s="123">
        <v>43481.499999999993</v>
      </c>
      <c r="K36" s="124"/>
      <c r="L36" s="125">
        <v>25365</v>
      </c>
      <c r="M36" s="122"/>
      <c r="N36" s="126"/>
      <c r="O36" s="127">
        <v>40</v>
      </c>
      <c r="P36" s="122"/>
      <c r="Q36" s="127">
        <v>9</v>
      </c>
      <c r="R36" s="12"/>
      <c r="S36" s="128">
        <f t="shared" si="0"/>
        <v>31</v>
      </c>
      <c r="T36" s="122"/>
      <c r="U36" s="127">
        <v>41</v>
      </c>
      <c r="V36" s="122"/>
      <c r="W36" s="127">
        <v>6</v>
      </c>
      <c r="X36" s="12"/>
      <c r="Y36" s="128">
        <f t="shared" si="1"/>
        <v>35</v>
      </c>
      <c r="Z36" s="12"/>
      <c r="AA36" s="127">
        <v>83</v>
      </c>
      <c r="AB36" s="122"/>
      <c r="AC36" s="127">
        <v>19</v>
      </c>
      <c r="AD36" s="12"/>
      <c r="AE36" s="128">
        <f t="shared" si="2"/>
        <v>64</v>
      </c>
      <c r="AF36" s="122"/>
      <c r="AG36" s="127">
        <v>89</v>
      </c>
      <c r="AH36" s="122"/>
      <c r="AI36" s="127">
        <v>24</v>
      </c>
      <c r="AJ36" s="12"/>
      <c r="AK36" s="128">
        <f t="shared" si="3"/>
        <v>65</v>
      </c>
      <c r="AL36" s="12"/>
      <c r="AM36" s="129">
        <f t="shared" si="4"/>
        <v>35</v>
      </c>
      <c r="AN36" s="122"/>
      <c r="AO36" s="129">
        <f t="shared" si="5"/>
        <v>64.5</v>
      </c>
      <c r="AP36" s="122"/>
      <c r="AQ36" s="130">
        <f t="shared" si="6"/>
        <v>99.5</v>
      </c>
    </row>
    <row r="37" spans="1:43" x14ac:dyDescent="0.25">
      <c r="A37" s="109" t="s">
        <v>164</v>
      </c>
      <c r="B37" s="119">
        <v>122481</v>
      </c>
      <c r="C37" s="120">
        <v>8922158</v>
      </c>
      <c r="D37" s="120">
        <v>892</v>
      </c>
      <c r="E37" s="120" t="s">
        <v>9</v>
      </c>
      <c r="F37" s="121">
        <v>2158</v>
      </c>
      <c r="G37" s="120" t="s">
        <v>128</v>
      </c>
      <c r="H37" s="120" t="s">
        <v>127</v>
      </c>
      <c r="I37" s="120" t="s">
        <v>11</v>
      </c>
      <c r="J37" s="123">
        <v>23597.999999999996</v>
      </c>
      <c r="K37" s="124"/>
      <c r="L37" s="125">
        <v>13766</v>
      </c>
      <c r="M37" s="122"/>
      <c r="N37" s="126"/>
      <c r="O37" s="127">
        <v>30</v>
      </c>
      <c r="P37" s="122"/>
      <c r="Q37" s="127">
        <v>11</v>
      </c>
      <c r="R37" s="12"/>
      <c r="S37" s="128">
        <f t="shared" si="0"/>
        <v>19</v>
      </c>
      <c r="T37" s="122"/>
      <c r="U37" s="127">
        <v>25</v>
      </c>
      <c r="V37" s="122"/>
      <c r="W37" s="127">
        <v>9</v>
      </c>
      <c r="X37" s="12"/>
      <c r="Y37" s="128">
        <f t="shared" si="1"/>
        <v>16</v>
      </c>
      <c r="Z37" s="12"/>
      <c r="AA37" s="127">
        <v>59</v>
      </c>
      <c r="AB37" s="122"/>
      <c r="AC37" s="127">
        <v>22</v>
      </c>
      <c r="AD37" s="12"/>
      <c r="AE37" s="128">
        <f t="shared" si="2"/>
        <v>37</v>
      </c>
      <c r="AF37" s="122"/>
      <c r="AG37" s="127">
        <v>57</v>
      </c>
      <c r="AH37" s="122"/>
      <c r="AI37" s="127">
        <v>21</v>
      </c>
      <c r="AJ37" s="12"/>
      <c r="AK37" s="128">
        <f t="shared" si="3"/>
        <v>36</v>
      </c>
      <c r="AL37" s="12"/>
      <c r="AM37" s="129">
        <f t="shared" si="4"/>
        <v>17.5</v>
      </c>
      <c r="AN37" s="122"/>
      <c r="AO37" s="129">
        <f t="shared" si="5"/>
        <v>36.5</v>
      </c>
      <c r="AP37" s="122"/>
      <c r="AQ37" s="130">
        <f t="shared" si="6"/>
        <v>54</v>
      </c>
    </row>
    <row r="38" spans="1:43" x14ac:dyDescent="0.25">
      <c r="A38" s="109" t="s">
        <v>165</v>
      </c>
      <c r="B38" s="119">
        <v>122486</v>
      </c>
      <c r="C38" s="120">
        <v>8922163</v>
      </c>
      <c r="D38" s="120">
        <v>892</v>
      </c>
      <c r="E38" s="120" t="s">
        <v>9</v>
      </c>
      <c r="F38" s="121">
        <v>2163</v>
      </c>
      <c r="G38" s="120" t="s">
        <v>29</v>
      </c>
      <c r="H38" s="120" t="s">
        <v>127</v>
      </c>
      <c r="I38" s="120" t="s">
        <v>11</v>
      </c>
      <c r="J38" s="123">
        <v>61616.999999999993</v>
      </c>
      <c r="K38" s="124"/>
      <c r="L38" s="125">
        <v>35944</v>
      </c>
      <c r="M38" s="122"/>
      <c r="N38" s="126"/>
      <c r="O38" s="127">
        <v>52</v>
      </c>
      <c r="P38" s="122"/>
      <c r="Q38" s="127">
        <v>5</v>
      </c>
      <c r="R38" s="12"/>
      <c r="S38" s="128">
        <f t="shared" si="0"/>
        <v>47</v>
      </c>
      <c r="T38" s="122"/>
      <c r="U38" s="127">
        <v>48</v>
      </c>
      <c r="V38" s="122"/>
      <c r="W38" s="127">
        <v>3</v>
      </c>
      <c r="X38" s="12"/>
      <c r="Y38" s="128">
        <f t="shared" si="1"/>
        <v>45</v>
      </c>
      <c r="Z38" s="12"/>
      <c r="AA38" s="127">
        <v>96</v>
      </c>
      <c r="AB38" s="122"/>
      <c r="AC38" s="127">
        <v>4</v>
      </c>
      <c r="AD38" s="12"/>
      <c r="AE38" s="128">
        <f t="shared" si="2"/>
        <v>92</v>
      </c>
      <c r="AF38" s="122"/>
      <c r="AG38" s="127">
        <v>102</v>
      </c>
      <c r="AH38" s="122"/>
      <c r="AI38" s="127">
        <v>4</v>
      </c>
      <c r="AJ38" s="12"/>
      <c r="AK38" s="128">
        <f t="shared" si="3"/>
        <v>98</v>
      </c>
      <c r="AL38" s="12"/>
      <c r="AM38" s="129">
        <f t="shared" si="4"/>
        <v>46</v>
      </c>
      <c r="AN38" s="122"/>
      <c r="AO38" s="129">
        <f t="shared" si="5"/>
        <v>95</v>
      </c>
      <c r="AP38" s="122"/>
      <c r="AQ38" s="130">
        <f t="shared" si="6"/>
        <v>141</v>
      </c>
    </row>
    <row r="39" spans="1:43" x14ac:dyDescent="0.25">
      <c r="A39" s="109" t="s">
        <v>166</v>
      </c>
      <c r="B39" s="119">
        <v>122493</v>
      </c>
      <c r="C39" s="120">
        <v>8922170</v>
      </c>
      <c r="D39" s="120">
        <v>892</v>
      </c>
      <c r="E39" s="120" t="s">
        <v>9</v>
      </c>
      <c r="F39" s="121">
        <v>2170</v>
      </c>
      <c r="G39" s="120" t="s">
        <v>30</v>
      </c>
      <c r="H39" s="120" t="s">
        <v>127</v>
      </c>
      <c r="I39" s="120" t="s">
        <v>11</v>
      </c>
      <c r="J39" s="123">
        <v>63146.499999999993</v>
      </c>
      <c r="K39" s="124"/>
      <c r="L39" s="125">
        <v>36836</v>
      </c>
      <c r="M39" s="122"/>
      <c r="N39" s="126"/>
      <c r="O39" s="127">
        <v>59</v>
      </c>
      <c r="P39" s="122"/>
      <c r="Q39" s="127">
        <v>11</v>
      </c>
      <c r="R39" s="12"/>
      <c r="S39" s="128">
        <f t="shared" si="0"/>
        <v>48</v>
      </c>
      <c r="T39" s="122"/>
      <c r="U39" s="127">
        <v>58</v>
      </c>
      <c r="V39" s="122"/>
      <c r="W39" s="127">
        <v>11</v>
      </c>
      <c r="X39" s="12"/>
      <c r="Y39" s="128">
        <f t="shared" si="1"/>
        <v>47</v>
      </c>
      <c r="Z39" s="12"/>
      <c r="AA39" s="127">
        <v>119</v>
      </c>
      <c r="AB39" s="122"/>
      <c r="AC39" s="127">
        <v>19</v>
      </c>
      <c r="AD39" s="12"/>
      <c r="AE39" s="128">
        <f t="shared" si="2"/>
        <v>100</v>
      </c>
      <c r="AF39" s="122"/>
      <c r="AG39" s="127">
        <v>110</v>
      </c>
      <c r="AH39" s="122"/>
      <c r="AI39" s="127">
        <v>16</v>
      </c>
      <c r="AJ39" s="12"/>
      <c r="AK39" s="128">
        <f t="shared" si="3"/>
        <v>94</v>
      </c>
      <c r="AL39" s="12"/>
      <c r="AM39" s="129">
        <f t="shared" si="4"/>
        <v>47.5</v>
      </c>
      <c r="AN39" s="122"/>
      <c r="AO39" s="129">
        <f t="shared" si="5"/>
        <v>97</v>
      </c>
      <c r="AP39" s="122"/>
      <c r="AQ39" s="130">
        <f t="shared" si="6"/>
        <v>144.5</v>
      </c>
    </row>
    <row r="40" spans="1:43" x14ac:dyDescent="0.25">
      <c r="A40" s="109" t="s">
        <v>167</v>
      </c>
      <c r="B40" s="119">
        <v>122508</v>
      </c>
      <c r="C40" s="120">
        <v>8922190</v>
      </c>
      <c r="D40" s="120">
        <v>892</v>
      </c>
      <c r="E40" s="120" t="s">
        <v>9</v>
      </c>
      <c r="F40" s="121">
        <v>2190</v>
      </c>
      <c r="G40" s="120" t="s">
        <v>31</v>
      </c>
      <c r="H40" s="120" t="s">
        <v>127</v>
      </c>
      <c r="I40" s="120" t="s">
        <v>11</v>
      </c>
      <c r="J40" s="123">
        <v>22723.999999999996</v>
      </c>
      <c r="K40" s="124"/>
      <c r="L40" s="125">
        <v>13256</v>
      </c>
      <c r="M40" s="122"/>
      <c r="N40" s="126"/>
      <c r="O40" s="127">
        <v>17</v>
      </c>
      <c r="P40" s="122"/>
      <c r="Q40" s="127">
        <v>4</v>
      </c>
      <c r="R40" s="12"/>
      <c r="S40" s="128">
        <f t="shared" si="0"/>
        <v>13</v>
      </c>
      <c r="T40" s="122"/>
      <c r="U40" s="127">
        <v>16</v>
      </c>
      <c r="V40" s="122"/>
      <c r="W40" s="127">
        <v>5</v>
      </c>
      <c r="X40" s="12"/>
      <c r="Y40" s="128">
        <f t="shared" si="1"/>
        <v>11</v>
      </c>
      <c r="Z40" s="12"/>
      <c r="AA40" s="127">
        <v>49</v>
      </c>
      <c r="AB40" s="122"/>
      <c r="AC40" s="127">
        <v>9</v>
      </c>
      <c r="AD40" s="12"/>
      <c r="AE40" s="128">
        <f t="shared" si="2"/>
        <v>40</v>
      </c>
      <c r="AF40" s="122"/>
      <c r="AG40" s="127">
        <v>48</v>
      </c>
      <c r="AH40" s="122"/>
      <c r="AI40" s="127">
        <v>8</v>
      </c>
      <c r="AJ40" s="12"/>
      <c r="AK40" s="128">
        <f t="shared" si="3"/>
        <v>40</v>
      </c>
      <c r="AL40" s="12"/>
      <c r="AM40" s="129">
        <f t="shared" si="4"/>
        <v>12</v>
      </c>
      <c r="AN40" s="122"/>
      <c r="AO40" s="129">
        <f t="shared" si="5"/>
        <v>40</v>
      </c>
      <c r="AP40" s="122"/>
      <c r="AQ40" s="130">
        <f t="shared" si="6"/>
        <v>52</v>
      </c>
    </row>
    <row r="41" spans="1:43" x14ac:dyDescent="0.25">
      <c r="A41" s="109" t="s">
        <v>168</v>
      </c>
      <c r="B41" s="119">
        <v>122561</v>
      </c>
      <c r="C41" s="120">
        <v>8922360</v>
      </c>
      <c r="D41" s="120">
        <v>892</v>
      </c>
      <c r="E41" s="120" t="s">
        <v>9</v>
      </c>
      <c r="F41" s="121">
        <v>2360</v>
      </c>
      <c r="G41" s="120" t="s">
        <v>32</v>
      </c>
      <c r="H41" s="120" t="s">
        <v>127</v>
      </c>
      <c r="I41" s="120" t="s">
        <v>11</v>
      </c>
      <c r="J41" s="123">
        <v>24471.999999999996</v>
      </c>
      <c r="K41" s="124"/>
      <c r="L41" s="125">
        <v>14276</v>
      </c>
      <c r="M41" s="122"/>
      <c r="N41" s="126"/>
      <c r="O41" s="127">
        <v>25</v>
      </c>
      <c r="P41" s="122"/>
      <c r="Q41" s="127">
        <v>5</v>
      </c>
      <c r="R41" s="12"/>
      <c r="S41" s="128">
        <f t="shared" si="0"/>
        <v>20</v>
      </c>
      <c r="T41" s="122"/>
      <c r="U41" s="127">
        <v>24</v>
      </c>
      <c r="V41" s="122"/>
      <c r="W41" s="127">
        <v>6</v>
      </c>
      <c r="X41" s="12"/>
      <c r="Y41" s="128">
        <f t="shared" si="1"/>
        <v>18</v>
      </c>
      <c r="Z41" s="12"/>
      <c r="AA41" s="127">
        <v>56</v>
      </c>
      <c r="AB41" s="122"/>
      <c r="AC41" s="127">
        <v>14</v>
      </c>
      <c r="AD41" s="12"/>
      <c r="AE41" s="128">
        <f t="shared" si="2"/>
        <v>42</v>
      </c>
      <c r="AF41" s="122"/>
      <c r="AG41" s="127">
        <v>42</v>
      </c>
      <c r="AH41" s="122"/>
      <c r="AI41" s="127">
        <v>10</v>
      </c>
      <c r="AJ41" s="12"/>
      <c r="AK41" s="128">
        <f t="shared" si="3"/>
        <v>32</v>
      </c>
      <c r="AL41" s="12"/>
      <c r="AM41" s="129">
        <f t="shared" si="4"/>
        <v>19</v>
      </c>
      <c r="AN41" s="122"/>
      <c r="AO41" s="129">
        <f t="shared" si="5"/>
        <v>37</v>
      </c>
      <c r="AP41" s="122"/>
      <c r="AQ41" s="130">
        <f t="shared" si="6"/>
        <v>56</v>
      </c>
    </row>
    <row r="42" spans="1:43" x14ac:dyDescent="0.25">
      <c r="A42" s="109" t="s">
        <v>169</v>
      </c>
      <c r="B42" s="119">
        <v>122702</v>
      </c>
      <c r="C42" s="120">
        <v>8922894</v>
      </c>
      <c r="D42" s="120">
        <v>892</v>
      </c>
      <c r="E42" s="120" t="s">
        <v>9</v>
      </c>
      <c r="F42" s="121">
        <v>2894</v>
      </c>
      <c r="G42" s="120" t="s">
        <v>33</v>
      </c>
      <c r="H42" s="120" t="s">
        <v>127</v>
      </c>
      <c r="I42" s="120" t="s">
        <v>11</v>
      </c>
      <c r="J42" s="123">
        <v>56154.499999999993</v>
      </c>
      <c r="K42" s="124"/>
      <c r="L42" s="125">
        <v>32757</v>
      </c>
      <c r="M42" s="122"/>
      <c r="N42" s="126"/>
      <c r="O42" s="127">
        <v>36</v>
      </c>
      <c r="P42" s="122"/>
      <c r="Q42" s="127">
        <v>7</v>
      </c>
      <c r="R42" s="12"/>
      <c r="S42" s="128">
        <f t="shared" si="0"/>
        <v>29</v>
      </c>
      <c r="T42" s="122"/>
      <c r="U42" s="127">
        <v>56</v>
      </c>
      <c r="V42" s="122"/>
      <c r="W42" s="127">
        <v>7</v>
      </c>
      <c r="X42" s="12"/>
      <c r="Y42" s="128">
        <f t="shared" si="1"/>
        <v>49</v>
      </c>
      <c r="Z42" s="12"/>
      <c r="AA42" s="127">
        <v>92</v>
      </c>
      <c r="AB42" s="122"/>
      <c r="AC42" s="127">
        <v>24</v>
      </c>
      <c r="AD42" s="12"/>
      <c r="AE42" s="128">
        <f t="shared" si="2"/>
        <v>68</v>
      </c>
      <c r="AF42" s="122"/>
      <c r="AG42" s="127">
        <v>109</v>
      </c>
      <c r="AH42" s="122"/>
      <c r="AI42" s="127">
        <v>18</v>
      </c>
      <c r="AJ42" s="12"/>
      <c r="AK42" s="128">
        <f t="shared" si="3"/>
        <v>91</v>
      </c>
      <c r="AL42" s="12"/>
      <c r="AM42" s="129">
        <f t="shared" si="4"/>
        <v>49</v>
      </c>
      <c r="AN42" s="122"/>
      <c r="AO42" s="129">
        <f t="shared" si="5"/>
        <v>79.5</v>
      </c>
      <c r="AP42" s="122"/>
      <c r="AQ42" s="130">
        <f t="shared" si="6"/>
        <v>128.5</v>
      </c>
    </row>
    <row r="43" spans="1:43" x14ac:dyDescent="0.25">
      <c r="A43" s="109" t="s">
        <v>170</v>
      </c>
      <c r="B43" s="119">
        <v>122703</v>
      </c>
      <c r="C43" s="120">
        <v>8922897</v>
      </c>
      <c r="D43" s="120">
        <v>892</v>
      </c>
      <c r="E43" s="120" t="s">
        <v>9</v>
      </c>
      <c r="F43" s="121">
        <v>2897</v>
      </c>
      <c r="G43" s="120" t="s">
        <v>34</v>
      </c>
      <c r="H43" s="120" t="s">
        <v>127</v>
      </c>
      <c r="I43" s="120" t="s">
        <v>11</v>
      </c>
      <c r="J43" s="123">
        <v>12891.499999999998</v>
      </c>
      <c r="K43" s="124"/>
      <c r="L43" s="125">
        <v>7521</v>
      </c>
      <c r="M43" s="122"/>
      <c r="N43" s="126"/>
      <c r="O43" s="127">
        <v>19</v>
      </c>
      <c r="P43" s="122"/>
      <c r="Q43" s="127">
        <v>7</v>
      </c>
      <c r="R43" s="12"/>
      <c r="S43" s="128">
        <f t="shared" si="0"/>
        <v>12</v>
      </c>
      <c r="T43" s="122"/>
      <c r="U43" s="127">
        <v>17</v>
      </c>
      <c r="V43" s="122"/>
      <c r="W43" s="127">
        <v>7</v>
      </c>
      <c r="X43" s="12"/>
      <c r="Y43" s="128">
        <f t="shared" si="1"/>
        <v>10</v>
      </c>
      <c r="Z43" s="12"/>
      <c r="AA43" s="127">
        <v>43</v>
      </c>
      <c r="AB43" s="122"/>
      <c r="AC43" s="127">
        <v>22</v>
      </c>
      <c r="AD43" s="12"/>
      <c r="AE43" s="128">
        <f t="shared" si="2"/>
        <v>21</v>
      </c>
      <c r="AF43" s="122"/>
      <c r="AG43" s="127">
        <v>35</v>
      </c>
      <c r="AH43" s="122"/>
      <c r="AI43" s="127">
        <v>19</v>
      </c>
      <c r="AJ43" s="12"/>
      <c r="AK43" s="128">
        <f t="shared" si="3"/>
        <v>16</v>
      </c>
      <c r="AL43" s="12"/>
      <c r="AM43" s="129">
        <f t="shared" si="4"/>
        <v>11</v>
      </c>
      <c r="AN43" s="122"/>
      <c r="AO43" s="129">
        <f t="shared" si="5"/>
        <v>18.5</v>
      </c>
      <c r="AP43" s="122"/>
      <c r="AQ43" s="130">
        <f t="shared" si="6"/>
        <v>29.5</v>
      </c>
    </row>
    <row r="44" spans="1:43" x14ac:dyDescent="0.25">
      <c r="A44" s="109" t="s">
        <v>171</v>
      </c>
      <c r="B44" s="119">
        <v>122721</v>
      </c>
      <c r="C44" s="120">
        <v>8922917</v>
      </c>
      <c r="D44" s="120">
        <v>892</v>
      </c>
      <c r="E44" s="120" t="s">
        <v>9</v>
      </c>
      <c r="F44" s="121">
        <v>2917</v>
      </c>
      <c r="G44" s="120" t="s">
        <v>35</v>
      </c>
      <c r="H44" s="120" t="s">
        <v>127</v>
      </c>
      <c r="I44" s="120" t="s">
        <v>11</v>
      </c>
      <c r="J44" s="123">
        <v>16824.499999999996</v>
      </c>
      <c r="K44" s="124"/>
      <c r="L44" s="125">
        <v>9815</v>
      </c>
      <c r="M44" s="122"/>
      <c r="N44" s="126"/>
      <c r="O44" s="127">
        <v>28</v>
      </c>
      <c r="P44" s="122"/>
      <c r="Q44" s="127">
        <v>15</v>
      </c>
      <c r="R44" s="12"/>
      <c r="S44" s="128">
        <f t="shared" si="0"/>
        <v>13</v>
      </c>
      <c r="T44" s="122"/>
      <c r="U44" s="127">
        <v>29</v>
      </c>
      <c r="V44" s="122"/>
      <c r="W44" s="127">
        <v>15</v>
      </c>
      <c r="X44" s="12"/>
      <c r="Y44" s="128">
        <f t="shared" si="1"/>
        <v>14</v>
      </c>
      <c r="Z44" s="12"/>
      <c r="AA44" s="127">
        <v>57</v>
      </c>
      <c r="AB44" s="122"/>
      <c r="AC44" s="127">
        <v>33</v>
      </c>
      <c r="AD44" s="12"/>
      <c r="AE44" s="128">
        <f t="shared" si="2"/>
        <v>24</v>
      </c>
      <c r="AF44" s="122"/>
      <c r="AG44" s="127">
        <v>57</v>
      </c>
      <c r="AH44" s="122"/>
      <c r="AI44" s="127">
        <v>32</v>
      </c>
      <c r="AJ44" s="12"/>
      <c r="AK44" s="128">
        <f t="shared" si="3"/>
        <v>25</v>
      </c>
      <c r="AL44" s="12"/>
      <c r="AM44" s="129">
        <f t="shared" si="4"/>
        <v>14</v>
      </c>
      <c r="AN44" s="122"/>
      <c r="AO44" s="129">
        <f t="shared" si="5"/>
        <v>24.5</v>
      </c>
      <c r="AP44" s="122"/>
      <c r="AQ44" s="130">
        <f t="shared" si="6"/>
        <v>38.5</v>
      </c>
    </row>
    <row r="45" spans="1:43" x14ac:dyDescent="0.25">
      <c r="A45" s="109" t="s">
        <v>172</v>
      </c>
      <c r="B45" s="119">
        <v>122733</v>
      </c>
      <c r="C45" s="120">
        <v>8922929</v>
      </c>
      <c r="D45" s="120">
        <v>892</v>
      </c>
      <c r="E45" s="120" t="s">
        <v>9</v>
      </c>
      <c r="F45" s="121">
        <v>2929</v>
      </c>
      <c r="G45" s="120" t="s">
        <v>36</v>
      </c>
      <c r="H45" s="120" t="s">
        <v>127</v>
      </c>
      <c r="I45" s="120" t="s">
        <v>11</v>
      </c>
      <c r="J45" s="123">
        <v>85870.499999999985</v>
      </c>
      <c r="K45" s="124"/>
      <c r="L45" s="125">
        <v>50092</v>
      </c>
      <c r="M45" s="122"/>
      <c r="N45" s="126"/>
      <c r="O45" s="127">
        <v>74</v>
      </c>
      <c r="P45" s="122"/>
      <c r="Q45" s="127">
        <v>13</v>
      </c>
      <c r="R45" s="12"/>
      <c r="S45" s="128">
        <f t="shared" si="0"/>
        <v>61</v>
      </c>
      <c r="T45" s="122"/>
      <c r="U45" s="127">
        <v>73</v>
      </c>
      <c r="V45" s="122"/>
      <c r="W45" s="127">
        <v>14</v>
      </c>
      <c r="X45" s="12"/>
      <c r="Y45" s="128">
        <f t="shared" si="1"/>
        <v>59</v>
      </c>
      <c r="Z45" s="12"/>
      <c r="AA45" s="127">
        <v>171</v>
      </c>
      <c r="AB45" s="122"/>
      <c r="AC45" s="127">
        <v>34</v>
      </c>
      <c r="AD45" s="12"/>
      <c r="AE45" s="128">
        <f t="shared" si="2"/>
        <v>137</v>
      </c>
      <c r="AF45" s="122"/>
      <c r="AG45" s="127">
        <v>166</v>
      </c>
      <c r="AH45" s="122"/>
      <c r="AI45" s="127">
        <v>30</v>
      </c>
      <c r="AJ45" s="12"/>
      <c r="AK45" s="128">
        <f t="shared" si="3"/>
        <v>136</v>
      </c>
      <c r="AL45" s="12"/>
      <c r="AM45" s="129">
        <f t="shared" si="4"/>
        <v>60</v>
      </c>
      <c r="AN45" s="122"/>
      <c r="AO45" s="129">
        <f t="shared" si="5"/>
        <v>136.5</v>
      </c>
      <c r="AP45" s="122"/>
      <c r="AQ45" s="130">
        <f t="shared" si="6"/>
        <v>196.5</v>
      </c>
    </row>
    <row r="46" spans="1:43" x14ac:dyDescent="0.25">
      <c r="A46" s="109" t="s">
        <v>173</v>
      </c>
      <c r="B46" s="119">
        <v>122739</v>
      </c>
      <c r="C46" s="120">
        <v>8922935</v>
      </c>
      <c r="D46" s="120">
        <v>892</v>
      </c>
      <c r="E46" s="120" t="s">
        <v>9</v>
      </c>
      <c r="F46" s="121">
        <v>2935</v>
      </c>
      <c r="G46" s="120" t="s">
        <v>37</v>
      </c>
      <c r="H46" s="120" t="s">
        <v>127</v>
      </c>
      <c r="I46" s="120" t="s">
        <v>11</v>
      </c>
      <c r="J46" s="123">
        <v>42170.499999999993</v>
      </c>
      <c r="K46" s="124"/>
      <c r="L46" s="125">
        <v>24600</v>
      </c>
      <c r="M46" s="122"/>
      <c r="N46" s="126"/>
      <c r="O46" s="127">
        <v>52</v>
      </c>
      <c r="P46" s="122"/>
      <c r="Q46" s="127">
        <v>17</v>
      </c>
      <c r="R46" s="12"/>
      <c r="S46" s="128">
        <f t="shared" si="0"/>
        <v>35</v>
      </c>
      <c r="T46" s="122"/>
      <c r="U46" s="127">
        <v>52</v>
      </c>
      <c r="V46" s="122"/>
      <c r="W46" s="127">
        <v>18</v>
      </c>
      <c r="X46" s="12"/>
      <c r="Y46" s="128">
        <f t="shared" si="1"/>
        <v>34</v>
      </c>
      <c r="Z46" s="12"/>
      <c r="AA46" s="127">
        <v>91</v>
      </c>
      <c r="AB46" s="122"/>
      <c r="AC46" s="127">
        <v>29</v>
      </c>
      <c r="AD46" s="12"/>
      <c r="AE46" s="128">
        <f t="shared" si="2"/>
        <v>62</v>
      </c>
      <c r="AF46" s="122"/>
      <c r="AG46" s="127">
        <v>84</v>
      </c>
      <c r="AH46" s="122"/>
      <c r="AI46" s="127">
        <v>22</v>
      </c>
      <c r="AJ46" s="12"/>
      <c r="AK46" s="128">
        <f t="shared" si="3"/>
        <v>62</v>
      </c>
      <c r="AL46" s="12"/>
      <c r="AM46" s="129">
        <f t="shared" si="4"/>
        <v>34.5</v>
      </c>
      <c r="AN46" s="122"/>
      <c r="AO46" s="129">
        <f t="shared" si="5"/>
        <v>62</v>
      </c>
      <c r="AP46" s="122"/>
      <c r="AQ46" s="130">
        <f t="shared" si="6"/>
        <v>96.5</v>
      </c>
    </row>
    <row r="47" spans="1:43" x14ac:dyDescent="0.25">
      <c r="A47" s="109" t="s">
        <v>190</v>
      </c>
      <c r="B47" s="119">
        <v>122740</v>
      </c>
      <c r="C47" s="120">
        <v>8923000</v>
      </c>
      <c r="D47" s="120">
        <v>892</v>
      </c>
      <c r="E47" s="120" t="s">
        <v>9</v>
      </c>
      <c r="F47" s="121">
        <v>3000</v>
      </c>
      <c r="G47" s="120" t="s">
        <v>38</v>
      </c>
      <c r="H47" s="120" t="s">
        <v>127</v>
      </c>
      <c r="I47" s="120" t="s">
        <v>39</v>
      </c>
      <c r="J47" s="123">
        <v>30152.999999999996</v>
      </c>
      <c r="K47" s="124"/>
      <c r="L47" s="125">
        <v>17590</v>
      </c>
      <c r="M47" s="122"/>
      <c r="N47" s="126"/>
      <c r="O47" s="127">
        <v>38</v>
      </c>
      <c r="P47" s="122"/>
      <c r="Q47" s="127">
        <v>7</v>
      </c>
      <c r="R47" s="12"/>
      <c r="S47" s="128">
        <f t="shared" si="0"/>
        <v>31</v>
      </c>
      <c r="T47" s="122"/>
      <c r="U47" s="127">
        <v>38</v>
      </c>
      <c r="V47" s="122"/>
      <c r="W47" s="127">
        <v>8</v>
      </c>
      <c r="X47" s="12"/>
      <c r="Y47" s="128">
        <f t="shared" si="1"/>
        <v>30</v>
      </c>
      <c r="Z47" s="12"/>
      <c r="AA47" s="127">
        <v>54</v>
      </c>
      <c r="AB47" s="122"/>
      <c r="AC47" s="127">
        <v>19</v>
      </c>
      <c r="AD47" s="12"/>
      <c r="AE47" s="128">
        <f t="shared" si="2"/>
        <v>35</v>
      </c>
      <c r="AF47" s="122"/>
      <c r="AG47" s="127">
        <v>66</v>
      </c>
      <c r="AH47" s="122"/>
      <c r="AI47" s="127">
        <v>24</v>
      </c>
      <c r="AJ47" s="12"/>
      <c r="AK47" s="128">
        <f t="shared" si="3"/>
        <v>42</v>
      </c>
      <c r="AL47" s="12"/>
      <c r="AM47" s="129">
        <f t="shared" si="4"/>
        <v>30.5</v>
      </c>
      <c r="AN47" s="122"/>
      <c r="AO47" s="129">
        <f t="shared" si="5"/>
        <v>38.5</v>
      </c>
      <c r="AP47" s="122"/>
      <c r="AQ47" s="130">
        <f t="shared" si="6"/>
        <v>69</v>
      </c>
    </row>
    <row r="48" spans="1:43" x14ac:dyDescent="0.25">
      <c r="A48" s="109" t="s">
        <v>174</v>
      </c>
      <c r="B48" s="119">
        <v>122777</v>
      </c>
      <c r="C48" s="120">
        <v>8923312</v>
      </c>
      <c r="D48" s="120">
        <v>892</v>
      </c>
      <c r="E48" s="120" t="s">
        <v>9</v>
      </c>
      <c r="F48" s="121">
        <v>3312</v>
      </c>
      <c r="G48" s="120" t="s">
        <v>40</v>
      </c>
      <c r="H48" s="120" t="s">
        <v>127</v>
      </c>
      <c r="I48" s="120" t="s">
        <v>39</v>
      </c>
      <c r="J48" s="123">
        <v>56154.499999999993</v>
      </c>
      <c r="K48" s="124"/>
      <c r="L48" s="125">
        <v>32757</v>
      </c>
      <c r="M48" s="122"/>
      <c r="N48" s="126"/>
      <c r="O48" s="127">
        <v>50</v>
      </c>
      <c r="P48" s="122"/>
      <c r="Q48" s="127">
        <v>0</v>
      </c>
      <c r="R48" s="12"/>
      <c r="S48" s="128">
        <f t="shared" si="0"/>
        <v>50</v>
      </c>
      <c r="T48" s="122"/>
      <c r="U48" s="127">
        <v>56</v>
      </c>
      <c r="V48" s="122"/>
      <c r="W48" s="127">
        <v>1</v>
      </c>
      <c r="X48" s="12"/>
      <c r="Y48" s="128">
        <f t="shared" si="1"/>
        <v>55</v>
      </c>
      <c r="Z48" s="12"/>
      <c r="AA48" s="127">
        <v>74</v>
      </c>
      <c r="AB48" s="122"/>
      <c r="AC48" s="127">
        <v>2</v>
      </c>
      <c r="AD48" s="12"/>
      <c r="AE48" s="128">
        <f t="shared" si="2"/>
        <v>72</v>
      </c>
      <c r="AF48" s="122"/>
      <c r="AG48" s="127">
        <v>80</v>
      </c>
      <c r="AH48" s="122"/>
      <c r="AI48" s="127">
        <v>5</v>
      </c>
      <c r="AJ48" s="12"/>
      <c r="AK48" s="128">
        <f t="shared" si="3"/>
        <v>75</v>
      </c>
      <c r="AL48" s="12"/>
      <c r="AM48" s="129">
        <f t="shared" si="4"/>
        <v>55</v>
      </c>
      <c r="AN48" s="122"/>
      <c r="AO48" s="129">
        <f t="shared" si="5"/>
        <v>73.5</v>
      </c>
      <c r="AP48" s="122"/>
      <c r="AQ48" s="130">
        <f t="shared" si="6"/>
        <v>128.5</v>
      </c>
    </row>
    <row r="49" spans="1:43" x14ac:dyDescent="0.25">
      <c r="A49" s="109" t="s">
        <v>175</v>
      </c>
      <c r="B49" s="119">
        <v>122964</v>
      </c>
      <c r="C49" s="120">
        <v>8927035</v>
      </c>
      <c r="D49" s="120">
        <v>892</v>
      </c>
      <c r="E49" s="120" t="s">
        <v>9</v>
      </c>
      <c r="F49" s="121">
        <v>7035</v>
      </c>
      <c r="G49" s="120" t="s">
        <v>41</v>
      </c>
      <c r="H49" s="120" t="s">
        <v>127</v>
      </c>
      <c r="I49" s="120" t="s">
        <v>42</v>
      </c>
      <c r="J49" s="123">
        <v>655.49999999999989</v>
      </c>
      <c r="K49" s="124"/>
      <c r="L49" s="125">
        <v>383</v>
      </c>
      <c r="M49" s="122"/>
      <c r="N49" s="126"/>
      <c r="O49" s="127">
        <v>1</v>
      </c>
      <c r="P49" s="122"/>
      <c r="Q49" s="127">
        <v>0</v>
      </c>
      <c r="R49" s="12"/>
      <c r="S49" s="128">
        <f t="shared" si="0"/>
        <v>1</v>
      </c>
      <c r="T49" s="122"/>
      <c r="U49" s="127">
        <v>1</v>
      </c>
      <c r="V49" s="122"/>
      <c r="W49" s="127">
        <v>1</v>
      </c>
      <c r="X49" s="12"/>
      <c r="Y49" s="128">
        <f t="shared" si="1"/>
        <v>0</v>
      </c>
      <c r="Z49" s="12"/>
      <c r="AA49" s="127">
        <v>6</v>
      </c>
      <c r="AB49" s="122"/>
      <c r="AC49" s="127">
        <v>4</v>
      </c>
      <c r="AD49" s="12"/>
      <c r="AE49" s="128">
        <f t="shared" si="2"/>
        <v>2</v>
      </c>
      <c r="AF49" s="122"/>
      <c r="AG49" s="127">
        <v>7</v>
      </c>
      <c r="AH49" s="122"/>
      <c r="AI49" s="127">
        <v>7</v>
      </c>
      <c r="AJ49" s="12"/>
      <c r="AK49" s="128">
        <f t="shared" si="3"/>
        <v>0</v>
      </c>
      <c r="AL49" s="12"/>
      <c r="AM49" s="129">
        <f t="shared" si="4"/>
        <v>0.5</v>
      </c>
      <c r="AN49" s="122"/>
      <c r="AO49" s="129">
        <f t="shared" si="5"/>
        <v>1</v>
      </c>
      <c r="AP49" s="122"/>
      <c r="AQ49" s="130">
        <f t="shared" si="6"/>
        <v>1.5</v>
      </c>
    </row>
    <row r="50" spans="1:43" x14ac:dyDescent="0.25">
      <c r="A50" s="109" t="s">
        <v>176</v>
      </c>
      <c r="B50" s="119">
        <v>131005</v>
      </c>
      <c r="C50" s="120">
        <v>8923326</v>
      </c>
      <c r="D50" s="120">
        <v>892</v>
      </c>
      <c r="E50" s="120" t="s">
        <v>9</v>
      </c>
      <c r="F50" s="121">
        <v>3326</v>
      </c>
      <c r="G50" s="120" t="s">
        <v>43</v>
      </c>
      <c r="H50" s="120" t="s">
        <v>127</v>
      </c>
      <c r="I50" s="120" t="s">
        <v>11</v>
      </c>
      <c r="J50" s="123">
        <v>35833.999999999993</v>
      </c>
      <c r="K50" s="124"/>
      <c r="L50" s="125">
        <v>20904</v>
      </c>
      <c r="M50" s="122"/>
      <c r="N50" s="126"/>
      <c r="O50" s="127">
        <v>45</v>
      </c>
      <c r="P50" s="122"/>
      <c r="Q50" s="127">
        <v>19</v>
      </c>
      <c r="R50" s="12"/>
      <c r="S50" s="128">
        <f t="shared" si="0"/>
        <v>26</v>
      </c>
      <c r="T50" s="122"/>
      <c r="U50" s="127">
        <v>49</v>
      </c>
      <c r="V50" s="122"/>
      <c r="W50" s="127">
        <v>21</v>
      </c>
      <c r="X50" s="12"/>
      <c r="Y50" s="128">
        <f t="shared" si="1"/>
        <v>28</v>
      </c>
      <c r="Z50" s="12"/>
      <c r="AA50" s="127">
        <v>82</v>
      </c>
      <c r="AB50" s="122"/>
      <c r="AC50" s="127">
        <v>28</v>
      </c>
      <c r="AD50" s="12"/>
      <c r="AE50" s="128">
        <f t="shared" si="2"/>
        <v>54</v>
      </c>
      <c r="AF50" s="122"/>
      <c r="AG50" s="127">
        <v>80</v>
      </c>
      <c r="AH50" s="122"/>
      <c r="AI50" s="127">
        <v>26</v>
      </c>
      <c r="AJ50" s="12"/>
      <c r="AK50" s="128">
        <f t="shared" si="3"/>
        <v>54</v>
      </c>
      <c r="AL50" s="12"/>
      <c r="AM50" s="129">
        <f t="shared" si="4"/>
        <v>28</v>
      </c>
      <c r="AN50" s="122"/>
      <c r="AO50" s="129">
        <f t="shared" si="5"/>
        <v>54</v>
      </c>
      <c r="AP50" s="122"/>
      <c r="AQ50" s="130">
        <f t="shared" si="6"/>
        <v>82</v>
      </c>
    </row>
    <row r="51" spans="1:43" x14ac:dyDescent="0.25">
      <c r="A51" s="109" t="s">
        <v>177</v>
      </c>
      <c r="B51" s="119">
        <v>131006</v>
      </c>
      <c r="C51" s="120">
        <v>8923327</v>
      </c>
      <c r="D51" s="120">
        <v>892</v>
      </c>
      <c r="E51" s="120" t="s">
        <v>9</v>
      </c>
      <c r="F51" s="121">
        <v>3327</v>
      </c>
      <c r="G51" s="120" t="s">
        <v>44</v>
      </c>
      <c r="H51" s="120" t="s">
        <v>127</v>
      </c>
      <c r="I51" s="120" t="s">
        <v>11</v>
      </c>
      <c r="J51" s="123">
        <v>33430.499999999993</v>
      </c>
      <c r="K51" s="124"/>
      <c r="L51" s="125">
        <v>19502</v>
      </c>
      <c r="M51" s="122"/>
      <c r="N51" s="126"/>
      <c r="O51" s="127">
        <v>44</v>
      </c>
      <c r="P51" s="122"/>
      <c r="Q51" s="127">
        <v>11</v>
      </c>
      <c r="R51" s="12"/>
      <c r="S51" s="128">
        <f t="shared" si="0"/>
        <v>33</v>
      </c>
      <c r="T51" s="122"/>
      <c r="U51" s="127">
        <v>42</v>
      </c>
      <c r="V51" s="122"/>
      <c r="W51" s="127">
        <v>12</v>
      </c>
      <c r="X51" s="12"/>
      <c r="Y51" s="128">
        <f t="shared" si="1"/>
        <v>30</v>
      </c>
      <c r="Z51" s="12"/>
      <c r="AA51" s="127">
        <v>73</v>
      </c>
      <c r="AB51" s="122"/>
      <c r="AC51" s="127">
        <v>25</v>
      </c>
      <c r="AD51" s="12"/>
      <c r="AE51" s="128">
        <f t="shared" si="2"/>
        <v>48</v>
      </c>
      <c r="AF51" s="122"/>
      <c r="AG51" s="127">
        <v>70</v>
      </c>
      <c r="AH51" s="122"/>
      <c r="AI51" s="127">
        <v>28</v>
      </c>
      <c r="AJ51" s="12"/>
      <c r="AK51" s="128">
        <f t="shared" si="3"/>
        <v>42</v>
      </c>
      <c r="AL51" s="12"/>
      <c r="AM51" s="129">
        <f t="shared" si="4"/>
        <v>31.5</v>
      </c>
      <c r="AN51" s="122"/>
      <c r="AO51" s="129">
        <f t="shared" si="5"/>
        <v>45</v>
      </c>
      <c r="AP51" s="122"/>
      <c r="AQ51" s="130">
        <f t="shared" si="6"/>
        <v>76.5</v>
      </c>
    </row>
    <row r="52" spans="1:43" x14ac:dyDescent="0.25">
      <c r="A52" s="109" t="s">
        <v>178</v>
      </c>
      <c r="B52" s="119">
        <v>131007</v>
      </c>
      <c r="C52" s="120">
        <v>8923329</v>
      </c>
      <c r="D52" s="120">
        <v>892</v>
      </c>
      <c r="E52" s="120" t="s">
        <v>9</v>
      </c>
      <c r="F52" s="121">
        <v>3329</v>
      </c>
      <c r="G52" s="120" t="s">
        <v>45</v>
      </c>
      <c r="H52" s="120" t="s">
        <v>127</v>
      </c>
      <c r="I52" s="120" t="s">
        <v>11</v>
      </c>
      <c r="J52" s="123">
        <v>61616.999999999993</v>
      </c>
      <c r="K52" s="124"/>
      <c r="L52" s="125">
        <v>35944</v>
      </c>
      <c r="M52" s="122"/>
      <c r="N52" s="126"/>
      <c r="O52" s="127">
        <v>59</v>
      </c>
      <c r="P52" s="122"/>
      <c r="Q52" s="127">
        <v>18</v>
      </c>
      <c r="R52" s="12"/>
      <c r="S52" s="128">
        <f t="shared" si="0"/>
        <v>41</v>
      </c>
      <c r="T52" s="122"/>
      <c r="U52" s="127">
        <v>60</v>
      </c>
      <c r="V52" s="122"/>
      <c r="W52" s="127">
        <v>15</v>
      </c>
      <c r="X52" s="12"/>
      <c r="Y52" s="128">
        <f t="shared" si="1"/>
        <v>45</v>
      </c>
      <c r="Z52" s="12"/>
      <c r="AA52" s="127">
        <v>119</v>
      </c>
      <c r="AB52" s="122"/>
      <c r="AC52" s="127">
        <v>25</v>
      </c>
      <c r="AD52" s="12"/>
      <c r="AE52" s="128">
        <f t="shared" si="2"/>
        <v>94</v>
      </c>
      <c r="AF52" s="122"/>
      <c r="AG52" s="127">
        <v>120</v>
      </c>
      <c r="AH52" s="122"/>
      <c r="AI52" s="127">
        <v>22</v>
      </c>
      <c r="AJ52" s="12"/>
      <c r="AK52" s="128">
        <f t="shared" si="3"/>
        <v>98</v>
      </c>
      <c r="AL52" s="12"/>
      <c r="AM52" s="129">
        <f t="shared" si="4"/>
        <v>45</v>
      </c>
      <c r="AN52" s="122"/>
      <c r="AO52" s="129">
        <f t="shared" si="5"/>
        <v>96</v>
      </c>
      <c r="AP52" s="122"/>
      <c r="AQ52" s="130">
        <f t="shared" si="6"/>
        <v>141</v>
      </c>
    </row>
    <row r="53" spans="1:43" x14ac:dyDescent="0.25">
      <c r="A53" s="109" t="s">
        <v>179</v>
      </c>
      <c r="B53" s="119">
        <v>131017</v>
      </c>
      <c r="C53" s="120">
        <v>8923328</v>
      </c>
      <c r="D53" s="120">
        <v>892</v>
      </c>
      <c r="E53" s="120" t="s">
        <v>9</v>
      </c>
      <c r="F53" s="121">
        <v>3328</v>
      </c>
      <c r="G53" s="120" t="s">
        <v>46</v>
      </c>
      <c r="H53" s="120" t="s">
        <v>127</v>
      </c>
      <c r="I53" s="120" t="s">
        <v>11</v>
      </c>
      <c r="J53" s="123">
        <v>22505.499999999996</v>
      </c>
      <c r="K53" s="124"/>
      <c r="L53" s="125">
        <v>13129</v>
      </c>
      <c r="M53" s="122"/>
      <c r="N53" s="126"/>
      <c r="O53" s="127">
        <v>27</v>
      </c>
      <c r="P53" s="122"/>
      <c r="Q53" s="127">
        <v>3</v>
      </c>
      <c r="R53" s="12"/>
      <c r="S53" s="128">
        <f t="shared" si="0"/>
        <v>24</v>
      </c>
      <c r="T53" s="122"/>
      <c r="U53" s="127">
        <v>27</v>
      </c>
      <c r="V53" s="122"/>
      <c r="W53" s="127">
        <v>5</v>
      </c>
      <c r="X53" s="12"/>
      <c r="Y53" s="128">
        <f t="shared" si="1"/>
        <v>22</v>
      </c>
      <c r="Z53" s="12"/>
      <c r="AA53" s="127">
        <v>56</v>
      </c>
      <c r="AB53" s="122"/>
      <c r="AC53" s="127">
        <v>25</v>
      </c>
      <c r="AD53" s="12"/>
      <c r="AE53" s="128">
        <f t="shared" si="2"/>
        <v>31</v>
      </c>
      <c r="AF53" s="122"/>
      <c r="AG53" s="127">
        <v>50</v>
      </c>
      <c r="AH53" s="122"/>
      <c r="AI53" s="127">
        <v>24</v>
      </c>
      <c r="AJ53" s="12"/>
      <c r="AK53" s="128">
        <f t="shared" si="3"/>
        <v>26</v>
      </c>
      <c r="AL53" s="12"/>
      <c r="AM53" s="129">
        <f t="shared" si="4"/>
        <v>23</v>
      </c>
      <c r="AN53" s="122"/>
      <c r="AO53" s="129">
        <f t="shared" si="5"/>
        <v>28.5</v>
      </c>
      <c r="AP53" s="122"/>
      <c r="AQ53" s="130">
        <f t="shared" si="6"/>
        <v>51.5</v>
      </c>
    </row>
    <row r="54" spans="1:43" x14ac:dyDescent="0.25">
      <c r="A54" s="109" t="s">
        <v>181</v>
      </c>
      <c r="B54" s="119">
        <v>134841</v>
      </c>
      <c r="C54" s="120">
        <v>8923323</v>
      </c>
      <c r="D54" s="120">
        <v>892</v>
      </c>
      <c r="E54" s="120" t="s">
        <v>9</v>
      </c>
      <c r="F54" s="121">
        <v>3323</v>
      </c>
      <c r="G54" s="120" t="s">
        <v>47</v>
      </c>
      <c r="H54" s="120" t="s">
        <v>127</v>
      </c>
      <c r="I54" s="120" t="s">
        <v>11</v>
      </c>
      <c r="J54" s="123">
        <v>49380.999999999993</v>
      </c>
      <c r="K54" s="124"/>
      <c r="L54" s="125">
        <v>28806</v>
      </c>
      <c r="M54" s="122"/>
      <c r="N54" s="126"/>
      <c r="O54" s="127">
        <v>36</v>
      </c>
      <c r="P54" s="122"/>
      <c r="Q54" s="127">
        <v>5</v>
      </c>
      <c r="R54" s="12"/>
      <c r="S54" s="128">
        <f t="shared" si="0"/>
        <v>31</v>
      </c>
      <c r="T54" s="122"/>
      <c r="U54" s="127">
        <v>54</v>
      </c>
      <c r="V54" s="122"/>
      <c r="W54" s="127">
        <v>6</v>
      </c>
      <c r="X54" s="12"/>
      <c r="Y54" s="128">
        <f t="shared" si="1"/>
        <v>48</v>
      </c>
      <c r="Z54" s="12"/>
      <c r="AA54" s="127">
        <v>87</v>
      </c>
      <c r="AB54" s="122"/>
      <c r="AC54" s="127">
        <v>30</v>
      </c>
      <c r="AD54" s="12"/>
      <c r="AE54" s="128">
        <f t="shared" si="2"/>
        <v>57</v>
      </c>
      <c r="AF54" s="122"/>
      <c r="AG54" s="127">
        <v>112</v>
      </c>
      <c r="AH54" s="122"/>
      <c r="AI54" s="127">
        <v>39</v>
      </c>
      <c r="AJ54" s="12"/>
      <c r="AK54" s="128">
        <f t="shared" si="3"/>
        <v>73</v>
      </c>
      <c r="AL54" s="12"/>
      <c r="AM54" s="129">
        <f t="shared" si="4"/>
        <v>48</v>
      </c>
      <c r="AN54" s="122"/>
      <c r="AO54" s="129">
        <f t="shared" si="5"/>
        <v>65</v>
      </c>
      <c r="AP54" s="122"/>
      <c r="AQ54" s="130">
        <f t="shared" si="6"/>
        <v>113</v>
      </c>
    </row>
    <row r="55" spans="1:43" x14ac:dyDescent="0.25">
      <c r="A55" s="109" t="s">
        <v>182</v>
      </c>
      <c r="B55" s="119">
        <v>134842</v>
      </c>
      <c r="C55" s="120">
        <v>8923324</v>
      </c>
      <c r="D55" s="120">
        <v>892</v>
      </c>
      <c r="E55" s="120" t="s">
        <v>9</v>
      </c>
      <c r="F55" s="121">
        <v>3324</v>
      </c>
      <c r="G55" s="120" t="s">
        <v>48</v>
      </c>
      <c r="H55" s="120" t="s">
        <v>127</v>
      </c>
      <c r="I55" s="120" t="s">
        <v>11</v>
      </c>
      <c r="J55" s="123">
        <v>23816.499999999996</v>
      </c>
      <c r="K55" s="124"/>
      <c r="L55" s="125">
        <v>13893</v>
      </c>
      <c r="M55" s="122"/>
      <c r="N55" s="126"/>
      <c r="O55" s="127">
        <v>25</v>
      </c>
      <c r="P55" s="122"/>
      <c r="Q55" s="127">
        <v>13</v>
      </c>
      <c r="R55" s="12"/>
      <c r="S55" s="128">
        <f t="shared" si="0"/>
        <v>12</v>
      </c>
      <c r="T55" s="122"/>
      <c r="U55" s="127">
        <v>26</v>
      </c>
      <c r="V55" s="122"/>
      <c r="W55" s="127">
        <v>13</v>
      </c>
      <c r="X55" s="12"/>
      <c r="Y55" s="128">
        <f t="shared" si="1"/>
        <v>13</v>
      </c>
      <c r="Z55" s="12"/>
      <c r="AA55" s="127">
        <v>60</v>
      </c>
      <c r="AB55" s="122"/>
      <c r="AC55" s="127">
        <v>18</v>
      </c>
      <c r="AD55" s="12"/>
      <c r="AE55" s="128">
        <f t="shared" si="2"/>
        <v>42</v>
      </c>
      <c r="AF55" s="122"/>
      <c r="AG55" s="127">
        <v>58</v>
      </c>
      <c r="AH55" s="122"/>
      <c r="AI55" s="127">
        <v>17</v>
      </c>
      <c r="AJ55" s="12"/>
      <c r="AK55" s="128">
        <f t="shared" si="3"/>
        <v>41</v>
      </c>
      <c r="AL55" s="12"/>
      <c r="AM55" s="129">
        <f t="shared" si="4"/>
        <v>13</v>
      </c>
      <c r="AN55" s="122"/>
      <c r="AO55" s="129">
        <f t="shared" si="5"/>
        <v>41.5</v>
      </c>
      <c r="AP55" s="122"/>
      <c r="AQ55" s="130">
        <f t="shared" si="6"/>
        <v>54.5</v>
      </c>
    </row>
    <row r="56" spans="1:43" x14ac:dyDescent="0.25">
      <c r="A56" s="109" t="s">
        <v>183</v>
      </c>
      <c r="B56" s="119">
        <v>135573</v>
      </c>
      <c r="C56" s="120">
        <v>8927042</v>
      </c>
      <c r="D56" s="120">
        <v>892</v>
      </c>
      <c r="E56" s="120" t="s">
        <v>9</v>
      </c>
      <c r="F56" s="121">
        <v>7042</v>
      </c>
      <c r="G56" s="120" t="s">
        <v>49</v>
      </c>
      <c r="H56" s="120" t="s">
        <v>127</v>
      </c>
      <c r="I56" s="120" t="s">
        <v>42</v>
      </c>
      <c r="J56" s="123">
        <v>3058.9999999999995</v>
      </c>
      <c r="K56" s="124"/>
      <c r="L56" s="125">
        <v>1785</v>
      </c>
      <c r="M56" s="122"/>
      <c r="N56" s="126"/>
      <c r="O56" s="127">
        <v>5</v>
      </c>
      <c r="P56" s="122"/>
      <c r="Q56" s="127">
        <v>2</v>
      </c>
      <c r="R56" s="12"/>
      <c r="S56" s="128">
        <f t="shared" si="0"/>
        <v>3</v>
      </c>
      <c r="T56" s="122"/>
      <c r="U56" s="127">
        <v>4</v>
      </c>
      <c r="V56" s="122"/>
      <c r="W56" s="127">
        <v>3</v>
      </c>
      <c r="X56" s="12"/>
      <c r="Y56" s="128">
        <f t="shared" si="1"/>
        <v>1</v>
      </c>
      <c r="Z56" s="12"/>
      <c r="AA56" s="127">
        <v>8</v>
      </c>
      <c r="AB56" s="122"/>
      <c r="AC56" s="127">
        <v>3</v>
      </c>
      <c r="AD56" s="12"/>
      <c r="AE56" s="128">
        <f t="shared" si="2"/>
        <v>5</v>
      </c>
      <c r="AF56" s="122"/>
      <c r="AG56" s="127">
        <v>8</v>
      </c>
      <c r="AH56" s="122"/>
      <c r="AI56" s="127">
        <v>3</v>
      </c>
      <c r="AJ56" s="12"/>
      <c r="AK56" s="128">
        <f t="shared" si="3"/>
        <v>5</v>
      </c>
      <c r="AL56" s="12"/>
      <c r="AM56" s="129">
        <f t="shared" si="4"/>
        <v>2</v>
      </c>
      <c r="AN56" s="122"/>
      <c r="AO56" s="129">
        <f t="shared" si="5"/>
        <v>5</v>
      </c>
      <c r="AP56" s="122"/>
      <c r="AQ56" s="130">
        <f t="shared" si="6"/>
        <v>7</v>
      </c>
    </row>
    <row r="57" spans="1:43" x14ac:dyDescent="0.25">
      <c r="A57" s="109" t="s">
        <v>184</v>
      </c>
      <c r="B57" s="119">
        <v>136232</v>
      </c>
      <c r="C57" s="120">
        <v>8923332</v>
      </c>
      <c r="D57" s="120">
        <v>892</v>
      </c>
      <c r="E57" s="120" t="s">
        <v>9</v>
      </c>
      <c r="F57" s="121">
        <v>3332</v>
      </c>
      <c r="G57" s="120" t="s">
        <v>50</v>
      </c>
      <c r="H57" s="120" t="s">
        <v>127</v>
      </c>
      <c r="I57" s="120" t="s">
        <v>11</v>
      </c>
      <c r="J57" s="123">
        <v>39111.499999999993</v>
      </c>
      <c r="K57" s="124"/>
      <c r="L57" s="125">
        <v>22816</v>
      </c>
      <c r="M57" s="122"/>
      <c r="N57" s="126"/>
      <c r="O57" s="127">
        <v>55</v>
      </c>
      <c r="P57" s="122"/>
      <c r="Q57" s="127">
        <v>26</v>
      </c>
      <c r="R57" s="12"/>
      <c r="S57" s="128">
        <f t="shared" si="0"/>
        <v>29</v>
      </c>
      <c r="T57" s="122"/>
      <c r="U57" s="127">
        <v>56</v>
      </c>
      <c r="V57" s="122"/>
      <c r="W57" s="127">
        <v>24</v>
      </c>
      <c r="X57" s="12"/>
      <c r="Y57" s="128">
        <f t="shared" si="1"/>
        <v>32</v>
      </c>
      <c r="Z57" s="12"/>
      <c r="AA57" s="127">
        <v>111</v>
      </c>
      <c r="AB57" s="122"/>
      <c r="AC57" s="127">
        <v>54</v>
      </c>
      <c r="AD57" s="12"/>
      <c r="AE57" s="128">
        <f t="shared" si="2"/>
        <v>57</v>
      </c>
      <c r="AF57" s="122"/>
      <c r="AG57" s="127">
        <v>107</v>
      </c>
      <c r="AH57" s="122"/>
      <c r="AI57" s="127">
        <v>49</v>
      </c>
      <c r="AJ57" s="12"/>
      <c r="AK57" s="128">
        <f t="shared" si="3"/>
        <v>58</v>
      </c>
      <c r="AL57" s="12"/>
      <c r="AM57" s="129">
        <f t="shared" si="4"/>
        <v>32</v>
      </c>
      <c r="AN57" s="122"/>
      <c r="AO57" s="129">
        <f t="shared" si="5"/>
        <v>57.5</v>
      </c>
      <c r="AP57" s="122"/>
      <c r="AQ57" s="130">
        <f t="shared" si="6"/>
        <v>89.5</v>
      </c>
    </row>
    <row r="58" spans="1:43" x14ac:dyDescent="0.25">
      <c r="A58" s="109" t="s">
        <v>185</v>
      </c>
      <c r="B58" s="119">
        <v>139429</v>
      </c>
      <c r="C58" s="120">
        <v>8922006</v>
      </c>
      <c r="D58" s="120">
        <v>892</v>
      </c>
      <c r="E58" s="120" t="s">
        <v>9</v>
      </c>
      <c r="F58" s="121">
        <v>2006</v>
      </c>
      <c r="G58" s="120" t="s">
        <v>132</v>
      </c>
      <c r="H58" s="120" t="s">
        <v>127</v>
      </c>
      <c r="I58" s="120" t="s">
        <v>11</v>
      </c>
      <c r="J58" s="123">
        <v>95921.499999999985</v>
      </c>
      <c r="K58" s="124"/>
      <c r="L58" s="125">
        <v>55955</v>
      </c>
      <c r="M58" s="122"/>
      <c r="N58" s="126"/>
      <c r="O58" s="127">
        <v>82</v>
      </c>
      <c r="P58" s="122"/>
      <c r="Q58" s="127">
        <v>6</v>
      </c>
      <c r="R58" s="12"/>
      <c r="S58" s="128">
        <f t="shared" si="0"/>
        <v>76</v>
      </c>
      <c r="T58" s="122"/>
      <c r="U58" s="127">
        <v>84</v>
      </c>
      <c r="V58" s="122"/>
      <c r="W58" s="127">
        <v>14</v>
      </c>
      <c r="X58" s="12"/>
      <c r="Y58" s="128">
        <f t="shared" si="1"/>
        <v>70</v>
      </c>
      <c r="Z58" s="12"/>
      <c r="AA58" s="127">
        <v>169</v>
      </c>
      <c r="AB58" s="122"/>
      <c r="AC58" s="127">
        <v>23</v>
      </c>
      <c r="AD58" s="12"/>
      <c r="AE58" s="128">
        <f t="shared" si="2"/>
        <v>146</v>
      </c>
      <c r="AF58" s="122"/>
      <c r="AG58" s="127">
        <v>172</v>
      </c>
      <c r="AH58" s="122"/>
      <c r="AI58" s="127">
        <v>25</v>
      </c>
      <c r="AJ58" s="12"/>
      <c r="AK58" s="128">
        <f t="shared" si="3"/>
        <v>147</v>
      </c>
      <c r="AL58" s="12"/>
      <c r="AM58" s="129">
        <f t="shared" si="4"/>
        <v>73</v>
      </c>
      <c r="AN58" s="122"/>
      <c r="AO58" s="129">
        <f t="shared" si="5"/>
        <v>146.5</v>
      </c>
      <c r="AP58" s="122"/>
      <c r="AQ58" s="130">
        <f t="shared" si="6"/>
        <v>219.5</v>
      </c>
    </row>
    <row r="59" spans="1:43" x14ac:dyDescent="0.25">
      <c r="A59" s="109" t="s">
        <v>186</v>
      </c>
      <c r="B59" s="131">
        <v>139430</v>
      </c>
      <c r="C59" s="132">
        <v>8922007</v>
      </c>
      <c r="D59" s="132">
        <v>892</v>
      </c>
      <c r="E59" s="132" t="s">
        <v>9</v>
      </c>
      <c r="F59" s="133">
        <v>2007</v>
      </c>
      <c r="G59" s="132" t="s">
        <v>52</v>
      </c>
      <c r="H59" s="132" t="s">
        <v>127</v>
      </c>
      <c r="I59" s="132" t="s">
        <v>11</v>
      </c>
      <c r="J59" s="135">
        <v>68827.499999999985</v>
      </c>
      <c r="K59" s="136"/>
      <c r="L59" s="137">
        <v>40150</v>
      </c>
      <c r="M59" s="134"/>
      <c r="N59" s="138"/>
      <c r="O59" s="139">
        <v>65</v>
      </c>
      <c r="P59" s="134"/>
      <c r="Q59" s="139">
        <v>15</v>
      </c>
      <c r="R59" s="13"/>
      <c r="S59" s="140">
        <f t="shared" si="0"/>
        <v>50</v>
      </c>
      <c r="T59" s="134"/>
      <c r="U59" s="139">
        <v>69</v>
      </c>
      <c r="V59" s="134"/>
      <c r="W59" s="139">
        <v>16</v>
      </c>
      <c r="X59" s="13"/>
      <c r="Y59" s="140">
        <f t="shared" si="1"/>
        <v>53</v>
      </c>
      <c r="Z59" s="13"/>
      <c r="AA59" s="139">
        <v>137</v>
      </c>
      <c r="AB59" s="134"/>
      <c r="AC59" s="139">
        <v>35</v>
      </c>
      <c r="AD59" s="13"/>
      <c r="AE59" s="140">
        <f t="shared" si="2"/>
        <v>102</v>
      </c>
      <c r="AF59" s="134"/>
      <c r="AG59" s="139">
        <v>142</v>
      </c>
      <c r="AH59" s="134"/>
      <c r="AI59" s="139">
        <v>35</v>
      </c>
      <c r="AJ59" s="13"/>
      <c r="AK59" s="140">
        <f t="shared" si="3"/>
        <v>107</v>
      </c>
      <c r="AL59" s="13"/>
      <c r="AM59" s="141">
        <f t="shared" si="4"/>
        <v>53</v>
      </c>
      <c r="AN59" s="134"/>
      <c r="AO59" s="141">
        <f t="shared" si="5"/>
        <v>104.5</v>
      </c>
      <c r="AP59" s="134"/>
      <c r="AQ59" s="142">
        <f t="shared" si="6"/>
        <v>157.5</v>
      </c>
    </row>
  </sheetData>
  <sheetProtection algorithmName="SHA-512" hashValue="icZFNLkJe+pFb8Aoct7KR7dw0WFeRy9C+tKerCKDqlg6oM/KsK2K4XlRMJgaly63v+891MWt4mJvfBPTfvf0nA==" saltValue="ZoseY9Fr3ywXcEoZ6ts6hw==" spinCount="100000" sheet="1" objects="1" scenarios="1"/>
  <mergeCells count="3">
    <mergeCell ref="B17:I17"/>
    <mergeCell ref="J17:M17"/>
    <mergeCell ref="N17:AQ17"/>
  </mergeCells>
  <pageMargins left="0.7" right="0.7" top="0.75" bottom="0.75" header="0.3" footer="0.3"/>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6"/>
  <sheetViews>
    <sheetView showGridLines="0" workbookViewId="0">
      <selection activeCell="A18" sqref="A18"/>
    </sheetView>
  </sheetViews>
  <sheetFormatPr defaultRowHeight="15" x14ac:dyDescent="0.25"/>
  <cols>
    <col min="1" max="5" width="9.140625" style="143"/>
    <col min="6" max="6" width="27.140625" style="143" bestFit="1" customWidth="1"/>
    <col min="7" max="7" width="9.140625" style="143"/>
    <col min="8" max="8" width="13.7109375" style="143" bestFit="1" customWidth="1"/>
    <col min="9" max="9" width="9.28515625" style="143" bestFit="1" customWidth="1"/>
    <col min="10" max="10" width="2.28515625" style="143" customWidth="1"/>
    <col min="11" max="11" width="10.5703125" style="143" bestFit="1" customWidth="1"/>
    <col min="12" max="13" width="2.28515625" style="143" customWidth="1"/>
    <col min="14" max="14" width="9.85546875" style="143" bestFit="1" customWidth="1"/>
    <col min="15" max="15" width="2.28515625" style="143" customWidth="1"/>
    <col min="16" max="16" width="9.85546875" style="143" bestFit="1" customWidth="1"/>
    <col min="17" max="17" width="2.28515625" style="143" customWidth="1"/>
    <col min="18" max="18" width="9.85546875" style="143" bestFit="1" customWidth="1"/>
    <col min="19" max="19" width="2.28515625" style="143" customWidth="1"/>
    <col min="20" max="20" width="9.85546875" style="143" bestFit="1" customWidth="1"/>
    <col min="21" max="21" width="2.28515625" style="143" customWidth="1"/>
    <col min="22" max="22" width="9.85546875" style="143" bestFit="1" customWidth="1"/>
    <col min="23" max="23" width="2.28515625" style="143" customWidth="1"/>
    <col min="24" max="24" width="9.85546875" style="143" bestFit="1" customWidth="1"/>
    <col min="25" max="25" width="2.28515625" style="143" customWidth="1"/>
    <col min="26" max="26" width="9.85546875" style="143" bestFit="1" customWidth="1"/>
    <col min="27" max="27" width="2.28515625" style="143" customWidth="1"/>
    <col min="28" max="28" width="9.85546875" style="143" bestFit="1" customWidth="1"/>
    <col min="29" max="29" width="2.28515625" style="143" customWidth="1"/>
    <col min="30" max="30" width="9.85546875" style="143" bestFit="1" customWidth="1"/>
    <col min="31" max="31" width="2.28515625" style="143" customWidth="1"/>
    <col min="32" max="32" width="9.85546875" style="143" bestFit="1" customWidth="1"/>
    <col min="33" max="33" width="2.28515625" style="143" customWidth="1"/>
    <col min="34" max="34" width="9.85546875" style="143" bestFit="1" customWidth="1"/>
    <col min="35" max="35" width="2.28515625" style="143" customWidth="1"/>
    <col min="36" max="36" width="9.85546875" style="143" bestFit="1" customWidth="1"/>
    <col min="37" max="37" width="2.28515625" style="143" customWidth="1"/>
    <col min="38" max="38" width="9.85546875" style="143" bestFit="1" customWidth="1"/>
    <col min="39" max="39" width="2.28515625" style="143" customWidth="1"/>
    <col min="40" max="40" width="9.85546875" style="143" bestFit="1" customWidth="1"/>
    <col min="41" max="41" width="2.28515625" style="143" customWidth="1"/>
    <col min="42" max="42" width="9.85546875" style="143" bestFit="1" customWidth="1"/>
    <col min="43" max="16384" width="9.140625" style="143"/>
  </cols>
  <sheetData>
    <row r="1" spans="1:43" x14ac:dyDescent="0.25">
      <c r="A1" s="147"/>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row>
    <row r="2" spans="1:43" x14ac:dyDescent="0.25">
      <c r="A2" s="147"/>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row>
    <row r="3" spans="1:43" x14ac:dyDescent="0.25">
      <c r="A3" s="147"/>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row>
    <row r="4" spans="1:43" x14ac:dyDescent="0.25">
      <c r="A4" s="147"/>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row>
    <row r="5" spans="1:43" x14ac:dyDescent="0.25">
      <c r="A5" s="144" t="s">
        <v>197</v>
      </c>
      <c r="B5"/>
      <c r="C5"/>
      <c r="D5"/>
      <c r="E5"/>
      <c r="F5"/>
      <c r="G5"/>
      <c r="H5"/>
      <c r="I5"/>
      <c r="J5"/>
      <c r="K5"/>
      <c r="L5"/>
      <c r="M5"/>
      <c r="N5"/>
      <c r="O5"/>
      <c r="P5"/>
      <c r="Q5"/>
      <c r="R5"/>
      <c r="S5"/>
      <c r="T5"/>
      <c r="U5"/>
      <c r="V5"/>
      <c r="W5"/>
      <c r="X5"/>
      <c r="Y5"/>
      <c r="Z5"/>
      <c r="AA5"/>
      <c r="AB5"/>
      <c r="AC5"/>
      <c r="AD5"/>
      <c r="AE5"/>
      <c r="AF5"/>
      <c r="AG5"/>
      <c r="AH5"/>
      <c r="AI5"/>
      <c r="AJ5"/>
      <c r="AK5"/>
      <c r="AL5"/>
      <c r="AM5"/>
      <c r="AN5"/>
      <c r="AO5"/>
      <c r="AP5"/>
      <c r="AQ5"/>
    </row>
    <row r="6" spans="1:43" x14ac:dyDescent="0.25">
      <c r="A6" s="145"/>
      <c r="B6"/>
      <c r="C6"/>
      <c r="D6"/>
      <c r="E6"/>
      <c r="F6"/>
      <c r="G6"/>
      <c r="H6"/>
      <c r="I6"/>
      <c r="J6"/>
      <c r="K6"/>
      <c r="L6"/>
      <c r="M6"/>
      <c r="N6"/>
      <c r="O6"/>
      <c r="P6"/>
      <c r="Q6"/>
      <c r="R6"/>
      <c r="S6"/>
      <c r="T6"/>
      <c r="U6"/>
      <c r="V6"/>
      <c r="W6"/>
      <c r="X6"/>
      <c r="Y6"/>
      <c r="Z6"/>
      <c r="AA6"/>
      <c r="AB6"/>
      <c r="AC6"/>
      <c r="AD6"/>
      <c r="AE6"/>
      <c r="AF6"/>
      <c r="AG6"/>
      <c r="AH6"/>
      <c r="AI6"/>
      <c r="AJ6"/>
      <c r="AK6"/>
      <c r="AL6"/>
      <c r="AM6"/>
      <c r="AN6"/>
      <c r="AO6"/>
      <c r="AP6"/>
      <c r="AQ6"/>
    </row>
    <row r="7" spans="1:43" x14ac:dyDescent="0.25">
      <c r="A7" s="145" t="s">
        <v>1</v>
      </c>
      <c r="B7"/>
      <c r="C7"/>
      <c r="D7"/>
      <c r="E7"/>
      <c r="F7"/>
      <c r="G7"/>
      <c r="H7"/>
      <c r="I7"/>
      <c r="J7"/>
      <c r="K7"/>
      <c r="L7"/>
      <c r="M7"/>
      <c r="N7"/>
      <c r="O7"/>
      <c r="P7"/>
      <c r="Q7"/>
      <c r="R7"/>
      <c r="S7"/>
      <c r="T7"/>
      <c r="U7"/>
      <c r="V7"/>
      <c r="W7"/>
      <c r="X7"/>
      <c r="Y7"/>
      <c r="Z7"/>
      <c r="AA7"/>
      <c r="AB7"/>
      <c r="AC7"/>
      <c r="AD7"/>
      <c r="AE7"/>
      <c r="AF7"/>
      <c r="AG7"/>
      <c r="AH7"/>
      <c r="AI7"/>
      <c r="AJ7"/>
      <c r="AK7"/>
      <c r="AL7"/>
      <c r="AM7"/>
      <c r="AN7"/>
      <c r="AO7"/>
      <c r="AP7"/>
      <c r="AQ7"/>
    </row>
    <row r="8" spans="1:43" x14ac:dyDescent="0.25">
      <c r="A8" s="145" t="s">
        <v>2</v>
      </c>
      <c r="B8"/>
      <c r="C8"/>
      <c r="D8"/>
      <c r="E8"/>
      <c r="F8"/>
      <c r="G8"/>
      <c r="H8"/>
      <c r="I8"/>
      <c r="J8"/>
      <c r="K8"/>
      <c r="L8"/>
      <c r="M8"/>
      <c r="N8"/>
      <c r="O8"/>
      <c r="P8"/>
      <c r="Q8"/>
      <c r="R8"/>
      <c r="S8"/>
      <c r="T8"/>
      <c r="U8"/>
      <c r="V8"/>
      <c r="W8"/>
      <c r="X8"/>
      <c r="Y8"/>
      <c r="Z8"/>
      <c r="AA8"/>
      <c r="AB8"/>
      <c r="AC8"/>
      <c r="AD8"/>
      <c r="AE8"/>
      <c r="AF8"/>
      <c r="AG8"/>
      <c r="AH8"/>
      <c r="AI8"/>
      <c r="AJ8"/>
      <c r="AK8"/>
      <c r="AL8"/>
      <c r="AM8"/>
      <c r="AN8"/>
      <c r="AO8"/>
      <c r="AP8"/>
      <c r="AQ8"/>
    </row>
    <row r="9" spans="1:43" x14ac:dyDescent="0.25">
      <c r="A9" s="145" t="s">
        <v>4</v>
      </c>
      <c r="B9"/>
      <c r="C9"/>
      <c r="D9"/>
      <c r="E9"/>
      <c r="F9"/>
      <c r="G9"/>
      <c r="H9"/>
      <c r="I9"/>
      <c r="J9"/>
      <c r="K9"/>
      <c r="L9"/>
      <c r="M9"/>
      <c r="N9"/>
      <c r="O9"/>
      <c r="P9"/>
      <c r="Q9"/>
      <c r="R9"/>
      <c r="S9"/>
      <c r="T9"/>
      <c r="U9"/>
      <c r="V9"/>
      <c r="W9"/>
      <c r="X9"/>
      <c r="Y9"/>
      <c r="Z9"/>
      <c r="AA9"/>
      <c r="AB9"/>
      <c r="AC9"/>
      <c r="AD9"/>
      <c r="AE9"/>
      <c r="AF9"/>
      <c r="AG9"/>
      <c r="AH9"/>
      <c r="AI9"/>
      <c r="AJ9"/>
      <c r="AK9"/>
      <c r="AL9"/>
      <c r="AM9"/>
      <c r="AN9"/>
      <c r="AO9"/>
      <c r="AP9"/>
      <c r="AQ9"/>
    </row>
    <row r="10" spans="1:43" x14ac:dyDescent="0.25">
      <c r="A10" s="145" t="s">
        <v>198</v>
      </c>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row>
    <row r="11" spans="1:43" x14ac:dyDescent="0.25">
      <c r="A11" s="145" t="s">
        <v>199</v>
      </c>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row>
    <row r="12" spans="1:43" x14ac:dyDescent="0.25">
      <c r="A12" s="145" t="s">
        <v>5</v>
      </c>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row>
    <row r="13" spans="1:43" x14ac:dyDescent="0.25">
      <c r="A13" s="145" t="s">
        <v>200</v>
      </c>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row>
    <row r="14" spans="1:43" x14ac:dyDescent="0.25">
      <c r="A14" s="145" t="s">
        <v>201</v>
      </c>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row>
    <row r="15" spans="1:43" x14ac:dyDescent="0.25">
      <c r="A15" s="146" t="s">
        <v>202</v>
      </c>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row>
    <row r="16" spans="1:43" x14ac:dyDescent="0.25">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row>
    <row r="17" spans="1:43" ht="15.75" x14ac:dyDescent="0.25">
      <c r="A17" s="5" t="s">
        <v>194</v>
      </c>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row>
    <row r="18" spans="1:43" ht="15.75" x14ac:dyDescent="0.25">
      <c r="A18" s="6"/>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row>
    <row r="19" spans="1:43" s="188" customFormat="1" x14ac:dyDescent="0.25">
      <c r="A19" s="187"/>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row>
    <row r="20" spans="1:43" s="188" customFormat="1" x14ac:dyDescent="0.25">
      <c r="A20" s="236"/>
      <c r="B20" s="236"/>
      <c r="C20" s="236"/>
      <c r="D20" s="237"/>
      <c r="E20" s="236"/>
      <c r="F20" s="236"/>
      <c r="G20" s="236"/>
      <c r="H20" s="236"/>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7"/>
      <c r="AM20" s="187"/>
      <c r="AN20" s="187"/>
      <c r="AO20" s="187"/>
      <c r="AP20" s="187"/>
      <c r="AQ20" s="187"/>
    </row>
    <row r="21" spans="1:43" s="188" customFormat="1" x14ac:dyDescent="0.25">
      <c r="A21" s="288" t="s">
        <v>6</v>
      </c>
      <c r="B21" s="289"/>
      <c r="C21" s="289"/>
      <c r="D21" s="289"/>
      <c r="E21" s="289"/>
      <c r="F21" s="289"/>
      <c r="G21" s="289"/>
      <c r="H21" s="290"/>
      <c r="I21" s="289"/>
      <c r="J21" s="289"/>
      <c r="K21" s="289"/>
      <c r="L21" s="289"/>
      <c r="M21" s="288" t="s">
        <v>8</v>
      </c>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289"/>
      <c r="AP21" s="290"/>
      <c r="AQ21" s="187"/>
    </row>
    <row r="22" spans="1:43" s="188" customFormat="1" ht="112.5" x14ac:dyDescent="0.25">
      <c r="A22" s="238"/>
      <c r="B22" s="239"/>
      <c r="C22" s="239"/>
      <c r="D22" s="239"/>
      <c r="E22" s="239"/>
      <c r="F22" s="239"/>
      <c r="G22" s="239"/>
      <c r="H22" s="240"/>
      <c r="I22" s="241" t="s">
        <v>135</v>
      </c>
      <c r="J22" s="242"/>
      <c r="K22" s="243" t="s">
        <v>218</v>
      </c>
      <c r="L22" s="244"/>
      <c r="M22" s="245"/>
      <c r="N22" s="241" t="s">
        <v>137</v>
      </c>
      <c r="O22" s="244"/>
      <c r="P22" s="241" t="s">
        <v>138</v>
      </c>
      <c r="Q22" s="246"/>
      <c r="R22" s="247" t="s">
        <v>139</v>
      </c>
      <c r="S22" s="244"/>
      <c r="T22" s="241" t="s">
        <v>140</v>
      </c>
      <c r="U22" s="244"/>
      <c r="V22" s="241" t="s">
        <v>141</v>
      </c>
      <c r="W22" s="246"/>
      <c r="X22" s="247" t="s">
        <v>142</v>
      </c>
      <c r="Y22" s="246"/>
      <c r="Z22" s="241" t="s">
        <v>143</v>
      </c>
      <c r="AA22" s="244"/>
      <c r="AB22" s="241" t="s">
        <v>144</v>
      </c>
      <c r="AC22" s="246"/>
      <c r="AD22" s="247" t="s">
        <v>145</v>
      </c>
      <c r="AE22" s="244"/>
      <c r="AF22" s="241" t="s">
        <v>146</v>
      </c>
      <c r="AG22" s="244"/>
      <c r="AH22" s="241" t="s">
        <v>147</v>
      </c>
      <c r="AI22" s="246"/>
      <c r="AJ22" s="247" t="s">
        <v>148</v>
      </c>
      <c r="AK22" s="246"/>
      <c r="AL22" s="241" t="s">
        <v>192</v>
      </c>
      <c r="AM22" s="246"/>
      <c r="AN22" s="241" t="s">
        <v>193</v>
      </c>
      <c r="AO22" s="248"/>
      <c r="AP22" s="249" t="s">
        <v>149</v>
      </c>
      <c r="AQ22" s="187"/>
    </row>
    <row r="23" spans="1:43" s="188" customFormat="1" x14ac:dyDescent="0.25">
      <c r="A23" s="250" t="s">
        <v>69</v>
      </c>
      <c r="B23" s="251" t="s">
        <v>70</v>
      </c>
      <c r="C23" s="251" t="s">
        <v>71</v>
      </c>
      <c r="D23" s="252" t="s">
        <v>72</v>
      </c>
      <c r="E23" s="251" t="s">
        <v>73</v>
      </c>
      <c r="F23" s="252" t="s">
        <v>74</v>
      </c>
      <c r="G23" s="252" t="s">
        <v>150</v>
      </c>
      <c r="H23" s="253" t="s">
        <v>75</v>
      </c>
      <c r="I23" s="254"/>
      <c r="J23" s="255"/>
      <c r="K23" s="256"/>
      <c r="L23" s="257"/>
      <c r="M23" s="258"/>
      <c r="N23" s="259"/>
      <c r="O23" s="257"/>
      <c r="P23" s="259"/>
      <c r="Q23" s="260"/>
      <c r="R23" s="261"/>
      <c r="S23" s="257"/>
      <c r="T23" s="259"/>
      <c r="U23" s="257"/>
      <c r="V23" s="259"/>
      <c r="W23" s="260"/>
      <c r="X23" s="261"/>
      <c r="Y23" s="260"/>
      <c r="Z23" s="259"/>
      <c r="AA23" s="257"/>
      <c r="AB23" s="259"/>
      <c r="AC23" s="260"/>
      <c r="AD23" s="261"/>
      <c r="AE23" s="257"/>
      <c r="AF23" s="259"/>
      <c r="AG23" s="257"/>
      <c r="AH23" s="259"/>
      <c r="AI23" s="260"/>
      <c r="AJ23" s="261"/>
      <c r="AK23" s="260"/>
      <c r="AL23" s="261"/>
      <c r="AM23" s="257"/>
      <c r="AN23" s="261"/>
      <c r="AO23" s="257"/>
      <c r="AP23" s="262"/>
      <c r="AQ23" s="187"/>
    </row>
    <row r="24" spans="1:43" s="188" customFormat="1" x14ac:dyDescent="0.25">
      <c r="A24" s="263" t="e">
        <f>VLOOKUP($A$18,'Provisional 16-17 data'!$A:$AQ,2,FALSE)</f>
        <v>#N/A</v>
      </c>
      <c r="B24" s="264" t="e">
        <f>VLOOKUP($A$18,'Provisional 16-17 data'!$A:$AQ,3,FALSE)</f>
        <v>#N/A</v>
      </c>
      <c r="C24" s="264" t="e">
        <f>VLOOKUP($A$18,'Provisional 16-17 data'!$A:$AQ,4,FALSE)</f>
        <v>#N/A</v>
      </c>
      <c r="D24" s="264" t="e">
        <f>VLOOKUP($A$18,'Provisional 16-17 data'!$A:$AQ,5,FALSE)</f>
        <v>#N/A</v>
      </c>
      <c r="E24" s="264" t="e">
        <f>VLOOKUP($A$18,'Provisional 16-17 data'!$A:$AQ,6,FALSE)</f>
        <v>#N/A</v>
      </c>
      <c r="F24" s="264" t="e">
        <f>VLOOKUP($A$18,'Provisional 16-17 data'!$A:$AQ,7,FALSE)</f>
        <v>#N/A</v>
      </c>
      <c r="G24" s="264" t="e">
        <f>VLOOKUP($A$18,'Provisional 16-17 data'!$A:$AQ,8,FALSE)</f>
        <v>#N/A</v>
      </c>
      <c r="H24" s="264" t="e">
        <f>VLOOKUP($A$18,'Provisional 16-17 data'!$A:$AQ,9,FALSE)</f>
        <v>#N/A</v>
      </c>
      <c r="I24" s="265" t="e">
        <f>VLOOKUP($A$18,'Provisional 16-17 data'!$A:$AQ,10,FALSE)</f>
        <v>#N/A</v>
      </c>
      <c r="J24" s="265"/>
      <c r="K24" s="266" t="e">
        <f>VLOOKUP($A$18,'Provisional 16-17 data'!$A:$AQ,12,FALSE)</f>
        <v>#N/A</v>
      </c>
      <c r="L24" s="265"/>
      <c r="M24" s="265"/>
      <c r="N24" s="267" t="e">
        <f>VLOOKUP($A$18,'Provisional 16-17 data'!$A:$AQ,15,FALSE)</f>
        <v>#N/A</v>
      </c>
      <c r="O24" s="267"/>
      <c r="P24" s="267" t="e">
        <f>VLOOKUP($A$18,'Provisional 16-17 data'!$A:$AQ,17,FALSE)</f>
        <v>#N/A</v>
      </c>
      <c r="Q24" s="267"/>
      <c r="R24" s="267" t="e">
        <f>VLOOKUP($A$18,'Provisional 16-17 data'!$A:$AQ,19,FALSE)</f>
        <v>#N/A</v>
      </c>
      <c r="S24" s="267"/>
      <c r="T24" s="267" t="e">
        <f>VLOOKUP($A$18,'Provisional 16-17 data'!$A:$AQ,21,FALSE)</f>
        <v>#N/A</v>
      </c>
      <c r="U24" s="267"/>
      <c r="V24" s="267" t="e">
        <f>VLOOKUP($A$18,'Provisional 16-17 data'!$A:$AQ,23,FALSE)</f>
        <v>#N/A</v>
      </c>
      <c r="W24" s="267"/>
      <c r="X24" s="267" t="e">
        <f>VLOOKUP($A$18,'Provisional 16-17 data'!$A:$AQ,25,FALSE)</f>
        <v>#N/A</v>
      </c>
      <c r="Y24" s="267"/>
      <c r="Z24" s="267" t="e">
        <f>VLOOKUP($A$18,'Provisional 16-17 data'!$A:$AQ,27,FALSE)</f>
        <v>#N/A</v>
      </c>
      <c r="AA24" s="267"/>
      <c r="AB24" s="267" t="e">
        <f>VLOOKUP($A$18,'Provisional 16-17 data'!$A:$AQ,29,FALSE)</f>
        <v>#N/A</v>
      </c>
      <c r="AC24" s="267"/>
      <c r="AD24" s="267" t="e">
        <f>VLOOKUP($A$18,'Provisional 16-17 data'!$A:$AQ,31,FALSE)</f>
        <v>#N/A</v>
      </c>
      <c r="AE24" s="267"/>
      <c r="AF24" s="267" t="e">
        <f>VLOOKUP($A$18,'Provisional 16-17 data'!$A:$AQ,33,FALSE)</f>
        <v>#N/A</v>
      </c>
      <c r="AG24" s="267"/>
      <c r="AH24" s="267" t="e">
        <f>VLOOKUP($A$18,'Provisional 16-17 data'!$A:$AQ,35,FALSE)</f>
        <v>#N/A</v>
      </c>
      <c r="AI24" s="267"/>
      <c r="AJ24" s="267" t="e">
        <f>VLOOKUP($A$18,'Provisional 16-17 data'!$A:$AQ,37,FALSE)</f>
        <v>#N/A</v>
      </c>
      <c r="AK24" s="267"/>
      <c r="AL24" s="267" t="e">
        <f>VLOOKUP($A$18,'Provisional 16-17 data'!$A:$AQ,39,FALSE)</f>
        <v>#N/A</v>
      </c>
      <c r="AM24" s="267"/>
      <c r="AN24" s="267" t="e">
        <f>VLOOKUP($A$18,'Provisional 16-17 data'!$A:$AQ,41,FALSE)</f>
        <v>#N/A</v>
      </c>
      <c r="AO24" s="267"/>
      <c r="AP24" s="268" t="e">
        <f>VLOOKUP($A$18,'Provisional 16-17 data'!$A:$AQ,43,FALSE)</f>
        <v>#N/A</v>
      </c>
      <c r="AQ24" s="187"/>
    </row>
    <row r="25" spans="1:43" s="188" customFormat="1" x14ac:dyDescent="0.25">
      <c r="A25" s="187"/>
      <c r="B25" s="187"/>
      <c r="C25" s="187"/>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187"/>
      <c r="AM25" s="187"/>
      <c r="AN25" s="187"/>
      <c r="AO25" s="187"/>
      <c r="AP25" s="187"/>
      <c r="AQ25" s="187"/>
    </row>
    <row r="26" spans="1:43" x14ac:dyDescent="0.25">
      <c r="K26" s="148"/>
    </row>
  </sheetData>
  <sheetProtection password="A9E8" sheet="1" objects="1" scenarios="1"/>
  <mergeCells count="3">
    <mergeCell ref="A21:H21"/>
    <mergeCell ref="I21:L21"/>
    <mergeCell ref="M21:AP2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Guidance</vt:lpstr>
      <vt:lpstr>Latest UIFSM Update</vt:lpstr>
      <vt:lpstr>Latest data</vt:lpstr>
      <vt:lpstr>Provisional 14-15 data</vt:lpstr>
      <vt:lpstr>Provisional 16-17 data</vt:lpstr>
      <vt:lpstr>Provisional UIFSM 16-17 </vt:lpstr>
    </vt:vector>
  </TitlesOfParts>
  <Company>Nottingham City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Holmes</dc:creator>
  <cp:lastModifiedBy>Sukhmanie Kaur</cp:lastModifiedBy>
  <cp:lastPrinted>2017-07-25T09:22:02Z</cp:lastPrinted>
  <dcterms:created xsi:type="dcterms:W3CDTF">2015-07-10T17:50:55Z</dcterms:created>
  <dcterms:modified xsi:type="dcterms:W3CDTF">2017-07-27T12:27:50Z</dcterms:modified>
</cp:coreProperties>
</file>